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70" yWindow="0" windowWidth="8930" windowHeight="8780" tabRatio="727" activeTab="2"/>
  </bookViews>
  <sheets>
    <sheet name="COVER PAGE" sheetId="13" r:id="rId1"/>
    <sheet name="ASCII" sheetId="31" r:id="rId2"/>
    <sheet name="PAGE1" sheetId="16" r:id="rId3"/>
    <sheet name="PAGE2" sheetId="2" r:id="rId4"/>
    <sheet name="PAGE3" sheetId="17" r:id="rId5"/>
    <sheet name="PAGE4 " sheetId="14" r:id="rId6"/>
    <sheet name="PAGE5" sheetId="12" r:id="rId7"/>
    <sheet name="PAGE6" sheetId="3" r:id="rId8"/>
    <sheet name="PAGE7" sheetId="7" r:id="rId9"/>
    <sheet name="PAGE8" sheetId="10" r:id="rId10"/>
    <sheet name="PAGE9" sheetId="15" r:id="rId11"/>
    <sheet name="PAGE10" sheetId="6" r:id="rId12"/>
    <sheet name="codes" sheetId="32" state="hidden" r:id="rId13"/>
    <sheet name="date" sheetId="33" state="hidden" r:id="rId14"/>
    <sheet name="Sheet1" sheetId="34" state="hidden" r:id="rId15"/>
  </sheets>
  <definedNames>
    <definedName name="_xlnm._FilterDatabase" localSheetId="1" hidden="1">ASCII!$A$3:$A$202</definedName>
    <definedName name="day">date!$A$2:$A$32</definedName>
    <definedName name="Institution">codes!$C$1:$C$26</definedName>
    <definedName name="month">date!$B$2:$B$13</definedName>
    <definedName name="Name">PAGE1!$C$11</definedName>
    <definedName name="_xlnm.Print_Area" localSheetId="0">'COVER PAGE'!$B$2:$Q$65</definedName>
    <definedName name="_xlnm.Print_Area" localSheetId="2">PAGE1!$A$1:$Q$99</definedName>
    <definedName name="_xlnm.Print_Area" localSheetId="3">PAGE2!$A$1:$N$102</definedName>
    <definedName name="_xlnm.Print_Area" localSheetId="4">PAGE3!$A$1:$O$57</definedName>
    <definedName name="_xlnm.Print_Area" localSheetId="5">'PAGE4 '!$A$1:$Q$66</definedName>
    <definedName name="_xlnm.Print_Area" localSheetId="6">PAGE5!$A$1:$S$102</definedName>
    <definedName name="_xlnm.Print_Area" localSheetId="7">PAGE6!$A$1:$R$101</definedName>
    <definedName name="_xlnm.Print_Area" localSheetId="8">PAGE7!$A$1:$R$35</definedName>
    <definedName name="_xlnm.Print_Area" localSheetId="9">PAGE8!$A$1:$Y$72</definedName>
    <definedName name="_xlnm.Print_Area" localSheetId="10">PAGE9!$A$1:$I$36</definedName>
    <definedName name="_xlnm.Print_Titles" localSheetId="2">PAGE1!$1:$24</definedName>
    <definedName name="_xlnm.Print_Titles" localSheetId="3">PAGE2!$1:$17</definedName>
    <definedName name="_xlnm.Print_Titles" localSheetId="6">PAGE5!$1:$16</definedName>
    <definedName name="_xlnm.Print_Titles" localSheetId="7">PAGE6!$1:$17</definedName>
    <definedName name="year">date!$C$2:$C$19</definedName>
  </definedNames>
  <calcPr calcId="145621" calcMode="manual"/>
</workbook>
</file>

<file path=xl/calcChain.xml><?xml version="1.0" encoding="utf-8"?>
<calcChain xmlns="http://schemas.openxmlformats.org/spreadsheetml/2006/main">
  <c r="C1" i="31" l="1"/>
  <c r="B8" i="31" l="1"/>
  <c r="A2" i="31"/>
  <c r="A3" i="31"/>
  <c r="I13" i="15"/>
  <c r="E26" i="16"/>
  <c r="C26" i="16"/>
  <c r="M32" i="7"/>
  <c r="C1043" i="31"/>
  <c r="K32" i="7"/>
  <c r="B1043" i="31" s="1"/>
  <c r="I32" i="7"/>
  <c r="C1042" i="31" s="1"/>
  <c r="G32" i="7"/>
  <c r="B1042" i="31"/>
  <c r="E32" i="7"/>
  <c r="C1041" i="31"/>
  <c r="C32" i="7"/>
  <c r="B1041" i="31"/>
  <c r="Q26" i="16"/>
  <c r="C43" i="31" s="1"/>
  <c r="O26" i="16"/>
  <c r="M26" i="16"/>
  <c r="K26" i="16"/>
  <c r="I26" i="16"/>
  <c r="C41" i="31" s="1"/>
  <c r="G26" i="16"/>
  <c r="G99" i="16" s="1"/>
  <c r="B200" i="31" s="1"/>
  <c r="Q41" i="16"/>
  <c r="O41" i="16"/>
  <c r="M41" i="16"/>
  <c r="K41" i="16"/>
  <c r="I41" i="16"/>
  <c r="G41" i="16"/>
  <c r="E41" i="16"/>
  <c r="E99" i="16" s="1"/>
  <c r="C41" i="16"/>
  <c r="C99" i="16" s="1"/>
  <c r="Q56" i="16"/>
  <c r="C121" i="31" s="1"/>
  <c r="O56" i="16"/>
  <c r="M56" i="16"/>
  <c r="K56" i="16"/>
  <c r="B120" i="31" s="1"/>
  <c r="I56" i="16"/>
  <c r="G56" i="16"/>
  <c r="E56" i="16"/>
  <c r="C56" i="16"/>
  <c r="Q71" i="16"/>
  <c r="C160" i="31" s="1"/>
  <c r="O71" i="16"/>
  <c r="B160" i="31"/>
  <c r="M71" i="16"/>
  <c r="C159" i="31"/>
  <c r="K71" i="16"/>
  <c r="B159" i="31"/>
  <c r="I71" i="16"/>
  <c r="C158" i="31" s="1"/>
  <c r="G71" i="16"/>
  <c r="B158" i="31"/>
  <c r="E71" i="16"/>
  <c r="C71" i="16"/>
  <c r="Q85" i="16"/>
  <c r="C199" i="31" s="1"/>
  <c r="O85" i="16"/>
  <c r="B199" i="31" s="1"/>
  <c r="M85" i="16"/>
  <c r="C198" i="31" s="1"/>
  <c r="K85" i="16"/>
  <c r="I85" i="16"/>
  <c r="G85" i="16"/>
  <c r="E85" i="16"/>
  <c r="C85" i="16"/>
  <c r="B427" i="31"/>
  <c r="B428" i="31"/>
  <c r="B429" i="31"/>
  <c r="B430" i="31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P100" i="12"/>
  <c r="B714" i="31" s="1"/>
  <c r="P99" i="12"/>
  <c r="P98" i="12"/>
  <c r="P97" i="12"/>
  <c r="P96" i="12"/>
  <c r="P95" i="12"/>
  <c r="B694" i="31" s="1"/>
  <c r="P94" i="12"/>
  <c r="P93" i="12"/>
  <c r="P92" i="12"/>
  <c r="B682" i="31" s="1"/>
  <c r="P91" i="12"/>
  <c r="P90" i="12"/>
  <c r="P89" i="12"/>
  <c r="P88" i="12"/>
  <c r="P87" i="12"/>
  <c r="B662" i="31" s="1"/>
  <c r="P84" i="12"/>
  <c r="P83" i="12"/>
  <c r="P82" i="12"/>
  <c r="B650" i="31" s="1"/>
  <c r="P81" i="12"/>
  <c r="P80" i="12"/>
  <c r="P79" i="12"/>
  <c r="P78" i="12"/>
  <c r="P77" i="12"/>
  <c r="B630" i="31" s="1"/>
  <c r="P76" i="12"/>
  <c r="P75" i="12"/>
  <c r="P74" i="12"/>
  <c r="P73" i="12"/>
  <c r="P72" i="12"/>
  <c r="P71" i="12"/>
  <c r="P67" i="12"/>
  <c r="P66" i="12"/>
  <c r="B598" i="31" s="1"/>
  <c r="P65" i="12"/>
  <c r="P64" i="12"/>
  <c r="P63" i="12"/>
  <c r="P62" i="12"/>
  <c r="P61" i="12"/>
  <c r="P60" i="12"/>
  <c r="P59" i="12"/>
  <c r="P58" i="12"/>
  <c r="B566" i="31" s="1"/>
  <c r="P57" i="12"/>
  <c r="P56" i="12"/>
  <c r="P55" i="12"/>
  <c r="P54" i="12"/>
  <c r="P50" i="12"/>
  <c r="P49" i="12"/>
  <c r="P48" i="12"/>
  <c r="P47" i="12"/>
  <c r="B534" i="31" s="1"/>
  <c r="P46" i="12"/>
  <c r="P45" i="12"/>
  <c r="P44" i="12"/>
  <c r="P43" i="12"/>
  <c r="P42" i="12"/>
  <c r="P41" i="12"/>
  <c r="P40" i="12"/>
  <c r="P39" i="12"/>
  <c r="B502" i="31" s="1"/>
  <c r="P38" i="12"/>
  <c r="P37" i="12"/>
  <c r="P33" i="12"/>
  <c r="P32" i="12"/>
  <c r="P31" i="12"/>
  <c r="P30" i="12"/>
  <c r="P29" i="12"/>
  <c r="P28" i="12"/>
  <c r="B470" i="31" s="1"/>
  <c r="P27" i="12"/>
  <c r="P26" i="12"/>
  <c r="P25" i="12"/>
  <c r="P24" i="12"/>
  <c r="P23" i="12"/>
  <c r="P22" i="12"/>
  <c r="P21" i="12"/>
  <c r="P20" i="12"/>
  <c r="P102" i="12" s="1"/>
  <c r="B718" i="31" s="1"/>
  <c r="R30" i="7"/>
  <c r="R28" i="7"/>
  <c r="R26" i="7"/>
  <c r="R24" i="7"/>
  <c r="R22" i="7"/>
  <c r="C1024" i="31" s="1"/>
  <c r="R20" i="7"/>
  <c r="R18" i="7"/>
  <c r="R16" i="7"/>
  <c r="C1012" i="31" s="1"/>
  <c r="R14" i="7"/>
  <c r="B410" i="31"/>
  <c r="C410" i="31"/>
  <c r="B1091" i="31"/>
  <c r="C343" i="31"/>
  <c r="B343" i="31"/>
  <c r="C342" i="31"/>
  <c r="B342" i="31"/>
  <c r="C341" i="31"/>
  <c r="B341" i="31"/>
  <c r="C340" i="31"/>
  <c r="B340" i="31"/>
  <c r="C339" i="31"/>
  <c r="B339" i="31"/>
  <c r="C338" i="31"/>
  <c r="B338" i="31"/>
  <c r="C337" i="31"/>
  <c r="B337" i="31"/>
  <c r="C336" i="31"/>
  <c r="B336" i="31"/>
  <c r="C335" i="31"/>
  <c r="B335" i="31"/>
  <c r="C334" i="31"/>
  <c r="B334" i="31"/>
  <c r="C333" i="31"/>
  <c r="B333" i="31"/>
  <c r="C332" i="31"/>
  <c r="B332" i="31"/>
  <c r="C331" i="31"/>
  <c r="B331" i="31"/>
  <c r="C330" i="31"/>
  <c r="B330" i="31"/>
  <c r="C329" i="31"/>
  <c r="B329" i="31"/>
  <c r="C328" i="31"/>
  <c r="B328" i="31"/>
  <c r="C327" i="31"/>
  <c r="B327" i="31"/>
  <c r="C326" i="31"/>
  <c r="B326" i="31"/>
  <c r="C325" i="31"/>
  <c r="B325" i="31"/>
  <c r="C324" i="31"/>
  <c r="B324" i="31"/>
  <c r="C323" i="31"/>
  <c r="B323" i="31"/>
  <c r="C322" i="31"/>
  <c r="B322" i="31"/>
  <c r="C321" i="31"/>
  <c r="B321" i="31"/>
  <c r="C320" i="31"/>
  <c r="B320" i="31"/>
  <c r="C319" i="31"/>
  <c r="B319" i="31"/>
  <c r="C318" i="31"/>
  <c r="B318" i="31"/>
  <c r="C317" i="31"/>
  <c r="B317" i="31"/>
  <c r="C316" i="31"/>
  <c r="B316" i="31"/>
  <c r="C315" i="31"/>
  <c r="B315" i="31"/>
  <c r="C314" i="31"/>
  <c r="B314" i="31"/>
  <c r="C313" i="31"/>
  <c r="B313" i="31"/>
  <c r="C312" i="31"/>
  <c r="B312" i="31"/>
  <c r="C311" i="31"/>
  <c r="B311" i="31"/>
  <c r="C310" i="31"/>
  <c r="B310" i="31"/>
  <c r="C309" i="31"/>
  <c r="B309" i="31"/>
  <c r="C308" i="31"/>
  <c r="B308" i="31"/>
  <c r="C307" i="31"/>
  <c r="B307" i="31"/>
  <c r="C306" i="31"/>
  <c r="B306" i="31"/>
  <c r="C305" i="31"/>
  <c r="B305" i="31"/>
  <c r="C304" i="31"/>
  <c r="B304" i="31"/>
  <c r="C303" i="31"/>
  <c r="B303" i="31"/>
  <c r="C302" i="31"/>
  <c r="B302" i="31"/>
  <c r="C301" i="31"/>
  <c r="B301" i="31"/>
  <c r="C300" i="31"/>
  <c r="B300" i="31"/>
  <c r="C299" i="31"/>
  <c r="B299" i="31"/>
  <c r="C298" i="31"/>
  <c r="B298" i="31"/>
  <c r="C297" i="31"/>
  <c r="B297" i="31"/>
  <c r="C296" i="31"/>
  <c r="B296" i="31"/>
  <c r="C295" i="31"/>
  <c r="B295" i="31"/>
  <c r="C294" i="31"/>
  <c r="B294" i="31"/>
  <c r="C293" i="31"/>
  <c r="B293" i="31"/>
  <c r="C292" i="31"/>
  <c r="B292" i="31"/>
  <c r="C291" i="31"/>
  <c r="B291" i="31"/>
  <c r="C290" i="31"/>
  <c r="B290" i="31"/>
  <c r="C289" i="31"/>
  <c r="B289" i="31"/>
  <c r="C288" i="31"/>
  <c r="B288" i="31"/>
  <c r="C287" i="31"/>
  <c r="B287" i="31"/>
  <c r="C286" i="31"/>
  <c r="B286" i="31"/>
  <c r="C285" i="31"/>
  <c r="B285" i="31"/>
  <c r="C284" i="31"/>
  <c r="B284" i="31"/>
  <c r="C283" i="31"/>
  <c r="B283" i="31"/>
  <c r="C282" i="31"/>
  <c r="B282" i="31"/>
  <c r="C281" i="31"/>
  <c r="B281" i="31"/>
  <c r="C280" i="31"/>
  <c r="B280" i="31"/>
  <c r="C279" i="31"/>
  <c r="B279" i="31"/>
  <c r="C278" i="31"/>
  <c r="B278" i="31"/>
  <c r="C277" i="31"/>
  <c r="B277" i="31"/>
  <c r="C276" i="31"/>
  <c r="B276" i="31"/>
  <c r="C275" i="31"/>
  <c r="B275" i="31"/>
  <c r="C274" i="31"/>
  <c r="B274" i="31"/>
  <c r="C273" i="31"/>
  <c r="B273" i="31"/>
  <c r="C272" i="31"/>
  <c r="B272" i="31"/>
  <c r="C271" i="31"/>
  <c r="B271" i="31"/>
  <c r="C270" i="31"/>
  <c r="B270" i="31"/>
  <c r="C269" i="31"/>
  <c r="B269" i="31"/>
  <c r="C268" i="31"/>
  <c r="B268" i="31"/>
  <c r="C267" i="31"/>
  <c r="B267" i="31"/>
  <c r="C266" i="31"/>
  <c r="B266" i="31"/>
  <c r="C265" i="31"/>
  <c r="B265" i="31"/>
  <c r="C264" i="31"/>
  <c r="B264" i="31"/>
  <c r="C263" i="31"/>
  <c r="B263" i="31"/>
  <c r="C262" i="31"/>
  <c r="B262" i="31"/>
  <c r="C261" i="31"/>
  <c r="B261" i="31"/>
  <c r="C260" i="31"/>
  <c r="B260" i="31"/>
  <c r="C259" i="31"/>
  <c r="B259" i="31"/>
  <c r="C258" i="31"/>
  <c r="B258" i="31"/>
  <c r="C257" i="31"/>
  <c r="B257" i="31"/>
  <c r="C256" i="31"/>
  <c r="B256" i="31"/>
  <c r="C255" i="31"/>
  <c r="B255" i="31"/>
  <c r="C254" i="31"/>
  <c r="B254" i="31"/>
  <c r="C253" i="31"/>
  <c r="B253" i="31"/>
  <c r="C252" i="31"/>
  <c r="B252" i="31"/>
  <c r="C251" i="31"/>
  <c r="B251" i="31"/>
  <c r="C250" i="31"/>
  <c r="B250" i="31"/>
  <c r="C249" i="31"/>
  <c r="B249" i="31"/>
  <c r="C248" i="31"/>
  <c r="B248" i="31"/>
  <c r="C247" i="31"/>
  <c r="B247" i="31"/>
  <c r="C246" i="31"/>
  <c r="B246" i="31"/>
  <c r="C245" i="31"/>
  <c r="B245" i="31"/>
  <c r="C244" i="31"/>
  <c r="B244" i="31"/>
  <c r="C243" i="31"/>
  <c r="B243" i="31"/>
  <c r="C242" i="31"/>
  <c r="B242" i="31"/>
  <c r="C241" i="31"/>
  <c r="B241" i="31"/>
  <c r="C240" i="31"/>
  <c r="B240" i="31"/>
  <c r="C239" i="31"/>
  <c r="B239" i="31"/>
  <c r="C238" i="31"/>
  <c r="B238" i="31"/>
  <c r="C237" i="31"/>
  <c r="B237" i="31"/>
  <c r="C236" i="31"/>
  <c r="B236" i="31"/>
  <c r="C235" i="31"/>
  <c r="B235" i="31"/>
  <c r="C234" i="31"/>
  <c r="B234" i="31"/>
  <c r="C233" i="31"/>
  <c r="B233" i="31"/>
  <c r="C232" i="31"/>
  <c r="B232" i="31"/>
  <c r="C231" i="31"/>
  <c r="B231" i="31"/>
  <c r="C230" i="31"/>
  <c r="B230" i="31"/>
  <c r="C229" i="31"/>
  <c r="B229" i="31"/>
  <c r="C228" i="31"/>
  <c r="B228" i="31"/>
  <c r="C227" i="31"/>
  <c r="B227" i="31"/>
  <c r="C226" i="31"/>
  <c r="B226" i="31"/>
  <c r="C225" i="31"/>
  <c r="B225" i="31"/>
  <c r="C224" i="31"/>
  <c r="B224" i="31"/>
  <c r="C223" i="31"/>
  <c r="B223" i="31"/>
  <c r="C222" i="31"/>
  <c r="B222" i="31"/>
  <c r="C221" i="31"/>
  <c r="B221" i="31"/>
  <c r="C220" i="31"/>
  <c r="B220" i="31"/>
  <c r="C219" i="31"/>
  <c r="B219" i="31"/>
  <c r="C218" i="31"/>
  <c r="B218" i="31"/>
  <c r="C217" i="31"/>
  <c r="B217" i="31"/>
  <c r="C216" i="31"/>
  <c r="B216" i="31"/>
  <c r="C215" i="31"/>
  <c r="B215" i="31"/>
  <c r="C214" i="31"/>
  <c r="B214" i="31"/>
  <c r="C213" i="31"/>
  <c r="B213" i="31"/>
  <c r="C212" i="31"/>
  <c r="B212" i="31"/>
  <c r="C211" i="31"/>
  <c r="B211" i="31"/>
  <c r="C210" i="31"/>
  <c r="B210" i="31"/>
  <c r="C209" i="31"/>
  <c r="B209" i="31"/>
  <c r="C208" i="31"/>
  <c r="B208" i="31"/>
  <c r="C207" i="31"/>
  <c r="B207" i="31"/>
  <c r="C206" i="31"/>
  <c r="B206" i="31"/>
  <c r="C205" i="31"/>
  <c r="B205" i="31"/>
  <c r="C204" i="31"/>
  <c r="B204" i="31"/>
  <c r="C421" i="31"/>
  <c r="C420" i="31"/>
  <c r="C419" i="31"/>
  <c r="B421" i="31"/>
  <c r="B420" i="31"/>
  <c r="B419" i="31"/>
  <c r="P30" i="7"/>
  <c r="B1040" i="31" s="1"/>
  <c r="P28" i="7"/>
  <c r="B1036" i="31"/>
  <c r="P26" i="7"/>
  <c r="B1032" i="31"/>
  <c r="P24" i="7"/>
  <c r="B1028" i="31" s="1"/>
  <c r="P22" i="7"/>
  <c r="B1024" i="31" s="1"/>
  <c r="P20" i="7"/>
  <c r="B1020" i="31"/>
  <c r="P18" i="7"/>
  <c r="B1016" i="31"/>
  <c r="P16" i="7"/>
  <c r="B1012" i="31"/>
  <c r="P14" i="7"/>
  <c r="M101" i="3"/>
  <c r="C1002" i="31" s="1"/>
  <c r="K101" i="3"/>
  <c r="B1002" i="31" s="1"/>
  <c r="I101" i="3"/>
  <c r="C1001" i="31"/>
  <c r="G101" i="3"/>
  <c r="B1001" i="31"/>
  <c r="E101" i="3"/>
  <c r="C1000" i="31" s="1"/>
  <c r="C101" i="3"/>
  <c r="B1000" i="31" s="1"/>
  <c r="R101" i="3"/>
  <c r="C1003" i="31"/>
  <c r="P101" i="3"/>
  <c r="B1003" i="31"/>
  <c r="M102" i="12"/>
  <c r="C717" i="31"/>
  <c r="K102" i="12"/>
  <c r="B717" i="31"/>
  <c r="I102" i="12"/>
  <c r="C716" i="31" s="1"/>
  <c r="G102" i="12"/>
  <c r="B716" i="31" s="1"/>
  <c r="E102" i="12"/>
  <c r="C715" i="31"/>
  <c r="C102" i="12"/>
  <c r="B715" i="31"/>
  <c r="Q39" i="14"/>
  <c r="O39" i="14"/>
  <c r="M39" i="14"/>
  <c r="K39" i="14"/>
  <c r="I39" i="14"/>
  <c r="G39" i="14"/>
  <c r="E39" i="14"/>
  <c r="C39" i="14"/>
  <c r="N53" i="17"/>
  <c r="L53" i="17"/>
  <c r="B406" i="31"/>
  <c r="I53" i="17"/>
  <c r="C405" i="31"/>
  <c r="G53" i="17"/>
  <c r="B405" i="31"/>
  <c r="E53" i="17"/>
  <c r="E56" i="17" s="1"/>
  <c r="C53" i="17"/>
  <c r="N35" i="17"/>
  <c r="C404" i="31"/>
  <c r="L35" i="17"/>
  <c r="B404" i="31"/>
  <c r="I35" i="17"/>
  <c r="C403" i="31" s="1"/>
  <c r="G35" i="17"/>
  <c r="G56" i="17" s="1"/>
  <c r="B407" i="31" s="1"/>
  <c r="B403" i="31"/>
  <c r="E35" i="17"/>
  <c r="C35" i="17"/>
  <c r="N102" i="2"/>
  <c r="C345" i="31" s="1"/>
  <c r="L102" i="2"/>
  <c r="B345" i="31"/>
  <c r="I102" i="2"/>
  <c r="C344" i="31"/>
  <c r="G102" i="2"/>
  <c r="B344" i="31" s="1"/>
  <c r="E102" i="2"/>
  <c r="C102" i="2"/>
  <c r="B1230" i="31"/>
  <c r="B1229" i="31"/>
  <c r="B1228" i="31"/>
  <c r="B1226" i="31"/>
  <c r="B1225" i="31"/>
  <c r="B1224" i="31"/>
  <c r="B1223" i="31"/>
  <c r="B1222" i="31"/>
  <c r="B1221" i="31"/>
  <c r="B1220" i="31"/>
  <c r="B1219" i="31"/>
  <c r="B1218" i="31"/>
  <c r="B1217" i="31"/>
  <c r="B1216" i="31"/>
  <c r="B1215" i="31"/>
  <c r="B1214" i="31"/>
  <c r="B1213" i="31"/>
  <c r="B1212" i="31"/>
  <c r="B1211" i="31"/>
  <c r="B1210" i="31"/>
  <c r="B1209" i="31"/>
  <c r="B1208" i="31"/>
  <c r="B1207" i="31"/>
  <c r="B1206" i="31"/>
  <c r="B1205" i="31"/>
  <c r="B1204" i="31"/>
  <c r="B1203" i="31"/>
  <c r="B1202" i="31"/>
  <c r="B1201" i="31"/>
  <c r="B1200" i="31"/>
  <c r="B1199" i="31"/>
  <c r="B1198" i="31"/>
  <c r="B1197" i="31"/>
  <c r="B1196" i="31"/>
  <c r="B1195" i="31"/>
  <c r="B1194" i="31"/>
  <c r="B1193" i="31"/>
  <c r="B1192" i="31"/>
  <c r="B1191" i="31"/>
  <c r="B1190" i="31"/>
  <c r="B1189" i="31"/>
  <c r="B1188" i="31"/>
  <c r="B1187" i="31"/>
  <c r="B1186" i="31"/>
  <c r="B1185" i="31"/>
  <c r="B1184" i="31"/>
  <c r="B1183" i="31"/>
  <c r="B1182" i="31"/>
  <c r="B1181" i="31"/>
  <c r="B1180" i="31"/>
  <c r="B1179" i="31"/>
  <c r="B1178" i="31"/>
  <c r="B1177" i="31"/>
  <c r="B1176" i="31"/>
  <c r="B1175" i="31"/>
  <c r="B1174" i="31"/>
  <c r="B1173" i="31"/>
  <c r="B1172" i="31"/>
  <c r="B1171" i="31"/>
  <c r="B1170" i="31"/>
  <c r="B1169" i="31"/>
  <c r="B1168" i="31"/>
  <c r="B1167" i="31"/>
  <c r="B1166" i="31"/>
  <c r="B1165" i="31"/>
  <c r="B1164" i="31"/>
  <c r="B1163" i="31"/>
  <c r="B1162" i="31"/>
  <c r="B1161" i="31"/>
  <c r="B1160" i="31"/>
  <c r="B1159" i="31"/>
  <c r="B1158" i="31"/>
  <c r="B1157" i="31"/>
  <c r="B1156" i="31"/>
  <c r="B1155" i="31"/>
  <c r="B1154" i="31"/>
  <c r="B1153" i="31"/>
  <c r="B1152" i="31"/>
  <c r="B1151" i="31"/>
  <c r="B1150" i="31"/>
  <c r="B1149" i="31"/>
  <c r="B1148" i="31"/>
  <c r="B1147" i="31"/>
  <c r="B1146" i="31"/>
  <c r="B1145" i="31"/>
  <c r="B1144" i="31"/>
  <c r="B1143" i="31"/>
  <c r="B1142" i="31"/>
  <c r="B1141" i="31"/>
  <c r="B1140" i="31"/>
  <c r="B1139" i="31"/>
  <c r="B1138" i="31"/>
  <c r="B1137" i="31"/>
  <c r="B1136" i="31"/>
  <c r="B1135" i="31"/>
  <c r="B1134" i="31"/>
  <c r="B1133" i="31"/>
  <c r="B1132" i="31"/>
  <c r="B1131" i="31"/>
  <c r="B1130" i="31"/>
  <c r="B1129" i="31"/>
  <c r="B1128" i="31"/>
  <c r="B1127" i="31"/>
  <c r="B1126" i="31"/>
  <c r="B1125" i="31"/>
  <c r="B1124" i="31"/>
  <c r="B1123" i="31"/>
  <c r="B1122" i="31"/>
  <c r="B1121" i="31"/>
  <c r="B1120" i="31"/>
  <c r="B1119" i="31"/>
  <c r="B1118" i="31"/>
  <c r="B1117" i="31"/>
  <c r="B1116" i="31"/>
  <c r="B1115" i="31"/>
  <c r="B1114" i="31"/>
  <c r="B1113" i="31"/>
  <c r="B1112" i="31"/>
  <c r="B1111" i="31"/>
  <c r="B1110" i="31"/>
  <c r="B1109" i="31"/>
  <c r="B1108" i="31"/>
  <c r="B1107" i="31"/>
  <c r="B1106" i="31"/>
  <c r="B1105" i="31"/>
  <c r="B1104" i="31"/>
  <c r="B1103" i="31"/>
  <c r="B1102" i="31"/>
  <c r="B1101" i="31"/>
  <c r="B1100" i="31"/>
  <c r="B1099" i="31"/>
  <c r="B1098" i="31"/>
  <c r="B1097" i="31"/>
  <c r="B1096" i="31"/>
  <c r="B1095" i="31"/>
  <c r="B1094" i="31"/>
  <c r="B1093" i="31"/>
  <c r="B1092" i="31"/>
  <c r="B1090" i="31"/>
  <c r="B1089" i="31"/>
  <c r="B1088" i="31"/>
  <c r="B1087" i="31"/>
  <c r="B1086" i="31"/>
  <c r="B1085" i="31"/>
  <c r="B1084" i="31"/>
  <c r="B1083" i="31"/>
  <c r="B1082" i="31"/>
  <c r="B1081" i="31"/>
  <c r="B1080" i="31"/>
  <c r="B1079" i="31"/>
  <c r="B1078" i="31"/>
  <c r="B1077" i="31"/>
  <c r="B1076" i="31"/>
  <c r="B1075" i="31"/>
  <c r="B1074" i="31"/>
  <c r="B1073" i="31"/>
  <c r="B1072" i="31"/>
  <c r="B1071" i="31"/>
  <c r="B1070" i="31"/>
  <c r="B1069" i="31"/>
  <c r="B1068" i="31"/>
  <c r="B1067" i="31"/>
  <c r="B1066" i="31"/>
  <c r="B1065" i="31"/>
  <c r="B1064" i="31"/>
  <c r="B1063" i="31"/>
  <c r="B1062" i="31"/>
  <c r="B1061" i="31"/>
  <c r="B1060" i="31"/>
  <c r="B1059" i="31"/>
  <c r="B1058" i="31"/>
  <c r="B1057" i="31"/>
  <c r="B1056" i="31"/>
  <c r="B1055" i="31"/>
  <c r="B1054" i="31"/>
  <c r="B1053" i="31"/>
  <c r="B1052" i="31"/>
  <c r="B1051" i="31"/>
  <c r="B1050" i="31"/>
  <c r="B1049" i="31"/>
  <c r="B1048" i="31"/>
  <c r="B1047" i="31"/>
  <c r="C1040" i="31"/>
  <c r="C1039" i="31"/>
  <c r="B1039" i="31"/>
  <c r="C1038" i="31"/>
  <c r="B1038" i="31"/>
  <c r="C1037" i="31"/>
  <c r="B1037" i="31"/>
  <c r="C1036" i="31"/>
  <c r="C1035" i="31"/>
  <c r="B1035" i="31"/>
  <c r="C1034" i="31"/>
  <c r="B1034" i="31"/>
  <c r="C1033" i="31"/>
  <c r="B1033" i="31"/>
  <c r="C1032" i="31"/>
  <c r="C1031" i="31"/>
  <c r="B1031" i="31"/>
  <c r="C1030" i="31"/>
  <c r="B1030" i="31"/>
  <c r="C1029" i="31"/>
  <c r="B1029" i="31"/>
  <c r="C1028" i="31"/>
  <c r="C1027" i="31"/>
  <c r="B1027" i="31"/>
  <c r="C1026" i="31"/>
  <c r="B1026" i="31"/>
  <c r="C1025" i="31"/>
  <c r="B1025" i="31"/>
  <c r="C1023" i="31"/>
  <c r="B1023" i="31"/>
  <c r="C1022" i="31"/>
  <c r="B1022" i="31"/>
  <c r="C1021" i="31"/>
  <c r="B1021" i="31"/>
  <c r="C1020" i="31"/>
  <c r="C1019" i="31"/>
  <c r="B1019" i="31"/>
  <c r="C1018" i="31"/>
  <c r="B1018" i="31"/>
  <c r="C1017" i="31"/>
  <c r="B1017" i="31"/>
  <c r="C1016" i="31"/>
  <c r="C1015" i="31"/>
  <c r="B1015" i="31"/>
  <c r="C1014" i="31"/>
  <c r="B1014" i="31"/>
  <c r="C1013" i="31"/>
  <c r="B1013" i="31"/>
  <c r="C1011" i="31"/>
  <c r="B1011" i="31"/>
  <c r="C1010" i="31"/>
  <c r="B1010" i="31"/>
  <c r="C1009" i="31"/>
  <c r="B1009" i="31"/>
  <c r="C1008" i="31"/>
  <c r="C1007" i="31"/>
  <c r="C1006" i="31"/>
  <c r="C1005" i="31"/>
  <c r="B1007" i="31"/>
  <c r="B1006" i="31"/>
  <c r="B1005" i="31"/>
  <c r="B431" i="31"/>
  <c r="B432" i="31"/>
  <c r="B433" i="31"/>
  <c r="B425" i="31"/>
  <c r="B424" i="31"/>
  <c r="C422" i="31"/>
  <c r="B422" i="31"/>
  <c r="C418" i="31"/>
  <c r="B418" i="31"/>
  <c r="C417" i="31"/>
  <c r="B417" i="31"/>
  <c r="C416" i="31"/>
  <c r="B416" i="31"/>
  <c r="C415" i="31"/>
  <c r="B415" i="31"/>
  <c r="C414" i="31"/>
  <c r="B414" i="31"/>
  <c r="C413" i="31"/>
  <c r="B413" i="31"/>
  <c r="C412" i="31"/>
  <c r="C411" i="31"/>
  <c r="B412" i="31"/>
  <c r="B411" i="31"/>
  <c r="C999" i="31"/>
  <c r="B999" i="31"/>
  <c r="C998" i="31"/>
  <c r="B998" i="31"/>
  <c r="C997" i="31"/>
  <c r="B997" i="31"/>
  <c r="C996" i="31"/>
  <c r="B996" i="31"/>
  <c r="C995" i="31"/>
  <c r="B995" i="31"/>
  <c r="C994" i="31"/>
  <c r="B994" i="31"/>
  <c r="C993" i="31"/>
  <c r="B993" i="31"/>
  <c r="C992" i="31"/>
  <c r="B992" i="31"/>
  <c r="C991" i="31"/>
  <c r="B991" i="31"/>
  <c r="C990" i="31"/>
  <c r="B990" i="31"/>
  <c r="C989" i="31"/>
  <c r="B989" i="31"/>
  <c r="C988" i="31"/>
  <c r="B988" i="31"/>
  <c r="C987" i="31"/>
  <c r="B987" i="31"/>
  <c r="C986" i="31"/>
  <c r="B986" i="31"/>
  <c r="C985" i="31"/>
  <c r="B985" i="31"/>
  <c r="C984" i="31"/>
  <c r="B984" i="31"/>
  <c r="C983" i="31"/>
  <c r="B983" i="31"/>
  <c r="C982" i="31"/>
  <c r="B982" i="31"/>
  <c r="C981" i="31"/>
  <c r="B981" i="31"/>
  <c r="C980" i="31"/>
  <c r="B980" i="31"/>
  <c r="C979" i="31"/>
  <c r="B979" i="31"/>
  <c r="C978" i="31"/>
  <c r="B978" i="31"/>
  <c r="C977" i="31"/>
  <c r="B977" i="31"/>
  <c r="C976" i="31"/>
  <c r="B976" i="31"/>
  <c r="C975" i="31"/>
  <c r="B975" i="31"/>
  <c r="C974" i="31"/>
  <c r="B974" i="31"/>
  <c r="C973" i="31"/>
  <c r="B973" i="31"/>
  <c r="C972" i="31"/>
  <c r="B972" i="31"/>
  <c r="C971" i="31"/>
  <c r="B971" i="31"/>
  <c r="C970" i="31"/>
  <c r="B970" i="31"/>
  <c r="C969" i="31"/>
  <c r="B969" i="31"/>
  <c r="C968" i="31"/>
  <c r="B968" i="31"/>
  <c r="C967" i="31"/>
  <c r="B967" i="31"/>
  <c r="C966" i="31"/>
  <c r="B966" i="31"/>
  <c r="C965" i="31"/>
  <c r="B965" i="31"/>
  <c r="C964" i="31"/>
  <c r="B964" i="31"/>
  <c r="C963" i="31"/>
  <c r="B963" i="31"/>
  <c r="C962" i="31"/>
  <c r="B962" i="31"/>
  <c r="C961" i="31"/>
  <c r="B961" i="31"/>
  <c r="C960" i="31"/>
  <c r="B960" i="31"/>
  <c r="C959" i="31"/>
  <c r="B959" i="31"/>
  <c r="C958" i="31"/>
  <c r="B958" i="31"/>
  <c r="C957" i="31"/>
  <c r="B957" i="31"/>
  <c r="C956" i="31"/>
  <c r="B956" i="31"/>
  <c r="C955" i="31"/>
  <c r="B955" i="31"/>
  <c r="C954" i="31"/>
  <c r="B954" i="31"/>
  <c r="C953" i="31"/>
  <c r="B953" i="31"/>
  <c r="C952" i="31"/>
  <c r="B952" i="31"/>
  <c r="C951" i="31"/>
  <c r="B951" i="31"/>
  <c r="C950" i="31"/>
  <c r="B950" i="31"/>
  <c r="C949" i="31"/>
  <c r="B949" i="31"/>
  <c r="C948" i="31"/>
  <c r="B948" i="31"/>
  <c r="C947" i="31"/>
  <c r="B947" i="31"/>
  <c r="C946" i="31"/>
  <c r="B946" i="31"/>
  <c r="C945" i="31"/>
  <c r="B945" i="31"/>
  <c r="C944" i="31"/>
  <c r="B944" i="31"/>
  <c r="C943" i="31"/>
  <c r="B943" i="31"/>
  <c r="C942" i="31"/>
  <c r="B942" i="31"/>
  <c r="C941" i="31"/>
  <c r="B941" i="31"/>
  <c r="C940" i="31"/>
  <c r="B940" i="31"/>
  <c r="C939" i="31"/>
  <c r="B939" i="31"/>
  <c r="C938" i="31"/>
  <c r="B938" i="31"/>
  <c r="C937" i="31"/>
  <c r="B937" i="31"/>
  <c r="C936" i="31"/>
  <c r="B936" i="31"/>
  <c r="C935" i="31"/>
  <c r="B935" i="31"/>
  <c r="C934" i="31"/>
  <c r="B934" i="31"/>
  <c r="C933" i="31"/>
  <c r="B933" i="31"/>
  <c r="C932" i="31"/>
  <c r="B932" i="31"/>
  <c r="C931" i="31"/>
  <c r="B931" i="31"/>
  <c r="C930" i="31"/>
  <c r="B930" i="31"/>
  <c r="C929" i="31"/>
  <c r="B929" i="31"/>
  <c r="C928" i="31"/>
  <c r="B928" i="31"/>
  <c r="C927" i="31"/>
  <c r="B927" i="31"/>
  <c r="C926" i="31"/>
  <c r="B926" i="31"/>
  <c r="C925" i="31"/>
  <c r="B925" i="31"/>
  <c r="C924" i="31"/>
  <c r="B924" i="31"/>
  <c r="C923" i="31"/>
  <c r="B923" i="31"/>
  <c r="C922" i="31"/>
  <c r="B922" i="31"/>
  <c r="C921" i="31"/>
  <c r="B921" i="31"/>
  <c r="C920" i="31"/>
  <c r="B920" i="31"/>
  <c r="C919" i="31"/>
  <c r="B919" i="31"/>
  <c r="C918" i="31"/>
  <c r="B918" i="31"/>
  <c r="C917" i="31"/>
  <c r="B917" i="31"/>
  <c r="C916" i="31"/>
  <c r="B916" i="31"/>
  <c r="C915" i="31"/>
  <c r="B915" i="31"/>
  <c r="C914" i="31"/>
  <c r="B914" i="31"/>
  <c r="C913" i="31"/>
  <c r="B913" i="31"/>
  <c r="C912" i="31"/>
  <c r="B912" i="31"/>
  <c r="C911" i="31"/>
  <c r="B911" i="31"/>
  <c r="C910" i="31"/>
  <c r="B910" i="31"/>
  <c r="C909" i="31"/>
  <c r="B909" i="31"/>
  <c r="C908" i="31"/>
  <c r="B908" i="31"/>
  <c r="C907" i="31"/>
  <c r="B907" i="31"/>
  <c r="C906" i="31"/>
  <c r="B906" i="31"/>
  <c r="C905" i="31"/>
  <c r="B905" i="31"/>
  <c r="C904" i="31"/>
  <c r="B904" i="31"/>
  <c r="C903" i="31"/>
  <c r="B903" i="31"/>
  <c r="C902" i="31"/>
  <c r="B902" i="31"/>
  <c r="C901" i="31"/>
  <c r="B901" i="31"/>
  <c r="C900" i="31"/>
  <c r="B900" i="31"/>
  <c r="C899" i="31"/>
  <c r="B899" i="31"/>
  <c r="C898" i="31"/>
  <c r="B898" i="31"/>
  <c r="C897" i="31"/>
  <c r="B897" i="31"/>
  <c r="C896" i="31"/>
  <c r="B896" i="31"/>
  <c r="C895" i="31"/>
  <c r="B895" i="31"/>
  <c r="C894" i="31"/>
  <c r="B894" i="31"/>
  <c r="C893" i="31"/>
  <c r="B893" i="31"/>
  <c r="C892" i="31"/>
  <c r="B892" i="31"/>
  <c r="C891" i="31"/>
  <c r="B891" i="31"/>
  <c r="C890" i="31"/>
  <c r="B890" i="31"/>
  <c r="C889" i="31"/>
  <c r="B889" i="31"/>
  <c r="C888" i="31"/>
  <c r="B888" i="31"/>
  <c r="C887" i="31"/>
  <c r="B887" i="31"/>
  <c r="C886" i="31"/>
  <c r="B886" i="31"/>
  <c r="C885" i="31"/>
  <c r="B885" i="31"/>
  <c r="C884" i="31"/>
  <c r="B884" i="31"/>
  <c r="C883" i="31"/>
  <c r="B883" i="31"/>
  <c r="C882" i="31"/>
  <c r="B882" i="31"/>
  <c r="C881" i="31"/>
  <c r="B881" i="31"/>
  <c r="C880" i="31"/>
  <c r="B880" i="31"/>
  <c r="C879" i="31"/>
  <c r="B879" i="31"/>
  <c r="C878" i="31"/>
  <c r="B878" i="31"/>
  <c r="C877" i="31"/>
  <c r="B877" i="31"/>
  <c r="C876" i="31"/>
  <c r="B876" i="31"/>
  <c r="C875" i="31"/>
  <c r="B875" i="31"/>
  <c r="C874" i="31"/>
  <c r="B874" i="31"/>
  <c r="C873" i="31"/>
  <c r="B873" i="31"/>
  <c r="C872" i="31"/>
  <c r="B872" i="31"/>
  <c r="C871" i="31"/>
  <c r="B871" i="31"/>
  <c r="C870" i="31"/>
  <c r="B870" i="31"/>
  <c r="C869" i="31"/>
  <c r="B869" i="31"/>
  <c r="C868" i="31"/>
  <c r="B868" i="31"/>
  <c r="C867" i="31"/>
  <c r="B867" i="31"/>
  <c r="C866" i="31"/>
  <c r="B866" i="31"/>
  <c r="C865" i="31"/>
  <c r="B865" i="31"/>
  <c r="C864" i="31"/>
  <c r="B864" i="31"/>
  <c r="C863" i="31"/>
  <c r="B863" i="31"/>
  <c r="C862" i="31"/>
  <c r="B862" i="31"/>
  <c r="C861" i="31"/>
  <c r="B861" i="31"/>
  <c r="C860" i="31"/>
  <c r="B860" i="31"/>
  <c r="C859" i="31"/>
  <c r="B859" i="31"/>
  <c r="C858" i="31"/>
  <c r="B858" i="31"/>
  <c r="C857" i="31"/>
  <c r="B857" i="31"/>
  <c r="C856" i="31"/>
  <c r="B856" i="31"/>
  <c r="C855" i="31"/>
  <c r="B855" i="31"/>
  <c r="C854" i="31"/>
  <c r="B854" i="31"/>
  <c r="C853" i="31"/>
  <c r="B853" i="31"/>
  <c r="C852" i="31"/>
  <c r="B852" i="31"/>
  <c r="C851" i="31"/>
  <c r="B851" i="31"/>
  <c r="C850" i="31"/>
  <c r="B850" i="31"/>
  <c r="C849" i="31"/>
  <c r="B849" i="31"/>
  <c r="C848" i="31"/>
  <c r="B848" i="31"/>
  <c r="C847" i="31"/>
  <c r="B847" i="31"/>
  <c r="C846" i="31"/>
  <c r="B846" i="31"/>
  <c r="C845" i="31"/>
  <c r="B845" i="31"/>
  <c r="C844" i="31"/>
  <c r="B844" i="31"/>
  <c r="C843" i="31"/>
  <c r="B843" i="31"/>
  <c r="C842" i="31"/>
  <c r="B842" i="31"/>
  <c r="C841" i="31"/>
  <c r="B841" i="31"/>
  <c r="C840" i="31"/>
  <c r="B840" i="31"/>
  <c r="C839" i="31"/>
  <c r="B839" i="31"/>
  <c r="C838" i="31"/>
  <c r="B838" i="31"/>
  <c r="C837" i="31"/>
  <c r="B837" i="31"/>
  <c r="C836" i="31"/>
  <c r="B836" i="31"/>
  <c r="C835" i="31"/>
  <c r="B835" i="31"/>
  <c r="C834" i="31"/>
  <c r="B834" i="31"/>
  <c r="C833" i="31"/>
  <c r="B833" i="31"/>
  <c r="C832" i="31"/>
  <c r="B832" i="31"/>
  <c r="C831" i="31"/>
  <c r="B831" i="31"/>
  <c r="C830" i="31"/>
  <c r="B830" i="31"/>
  <c r="C829" i="31"/>
  <c r="B829" i="31"/>
  <c r="C828" i="31"/>
  <c r="B828" i="31"/>
  <c r="C827" i="31"/>
  <c r="B827" i="31"/>
  <c r="C826" i="31"/>
  <c r="B826" i="31"/>
  <c r="C825" i="31"/>
  <c r="B825" i="31"/>
  <c r="C824" i="31"/>
  <c r="B824" i="31"/>
  <c r="C823" i="31"/>
  <c r="B823" i="31"/>
  <c r="C822" i="31"/>
  <c r="B822" i="31"/>
  <c r="C821" i="31"/>
  <c r="B821" i="31"/>
  <c r="C820" i="31"/>
  <c r="B820" i="31"/>
  <c r="C819" i="31"/>
  <c r="B819" i="31"/>
  <c r="C818" i="31"/>
  <c r="B818" i="31"/>
  <c r="C817" i="31"/>
  <c r="B817" i="31"/>
  <c r="C816" i="31"/>
  <c r="B816" i="31"/>
  <c r="C815" i="31"/>
  <c r="B815" i="31"/>
  <c r="C814" i="31"/>
  <c r="B814" i="31"/>
  <c r="C813" i="31"/>
  <c r="B813" i="31"/>
  <c r="C812" i="31"/>
  <c r="B812" i="31"/>
  <c r="C811" i="31"/>
  <c r="B811" i="31"/>
  <c r="C810" i="31"/>
  <c r="B810" i="31"/>
  <c r="C809" i="31"/>
  <c r="B809" i="31"/>
  <c r="C808" i="31"/>
  <c r="B808" i="31"/>
  <c r="C807" i="31"/>
  <c r="B807" i="31"/>
  <c r="C806" i="31"/>
  <c r="B806" i="31"/>
  <c r="C805" i="31"/>
  <c r="B805" i="31"/>
  <c r="C804" i="31"/>
  <c r="B804" i="31"/>
  <c r="C803" i="31"/>
  <c r="B803" i="31"/>
  <c r="C802" i="31"/>
  <c r="B802" i="31"/>
  <c r="C801" i="31"/>
  <c r="B801" i="31"/>
  <c r="C800" i="31"/>
  <c r="B800" i="31"/>
  <c r="C799" i="31"/>
  <c r="B799" i="31"/>
  <c r="C798" i="31"/>
  <c r="B798" i="31"/>
  <c r="C797" i="31"/>
  <c r="B797" i="31"/>
  <c r="C796" i="31"/>
  <c r="B796" i="31"/>
  <c r="C795" i="31"/>
  <c r="B795" i="31"/>
  <c r="C794" i="31"/>
  <c r="B794" i="31"/>
  <c r="C793" i="31"/>
  <c r="B793" i="31"/>
  <c r="C792" i="31"/>
  <c r="B792" i="31"/>
  <c r="C791" i="31"/>
  <c r="B791" i="31"/>
  <c r="C790" i="31"/>
  <c r="B790" i="31"/>
  <c r="C789" i="31"/>
  <c r="B789" i="31"/>
  <c r="C788" i="31"/>
  <c r="B788" i="31"/>
  <c r="C787" i="31"/>
  <c r="B787" i="31"/>
  <c r="C786" i="31"/>
  <c r="B786" i="31"/>
  <c r="C785" i="31"/>
  <c r="B785" i="31"/>
  <c r="C784" i="31"/>
  <c r="B784" i="31"/>
  <c r="C783" i="31"/>
  <c r="B783" i="31"/>
  <c r="C782" i="31"/>
  <c r="B782" i="31"/>
  <c r="C781" i="31"/>
  <c r="B781" i="31"/>
  <c r="C780" i="31"/>
  <c r="B780" i="31"/>
  <c r="C779" i="31"/>
  <c r="B779" i="31"/>
  <c r="C778" i="31"/>
  <c r="B778" i="31"/>
  <c r="C777" i="31"/>
  <c r="B777" i="31"/>
  <c r="C776" i="31"/>
  <c r="B776" i="31"/>
  <c r="C775" i="31"/>
  <c r="B775" i="31"/>
  <c r="C774" i="31"/>
  <c r="B774" i="31"/>
  <c r="C773" i="31"/>
  <c r="B773" i="31"/>
  <c r="C772" i="31"/>
  <c r="B772" i="31"/>
  <c r="C771" i="31"/>
  <c r="B771" i="31"/>
  <c r="C770" i="31"/>
  <c r="B770" i="31"/>
  <c r="C769" i="31"/>
  <c r="B769" i="31"/>
  <c r="C768" i="31"/>
  <c r="B768" i="31"/>
  <c r="C767" i="31"/>
  <c r="B767" i="31"/>
  <c r="C766" i="31"/>
  <c r="B766" i="31"/>
  <c r="C765" i="31"/>
  <c r="B765" i="31"/>
  <c r="C764" i="31"/>
  <c r="B764" i="31"/>
  <c r="C763" i="31"/>
  <c r="B763" i="31"/>
  <c r="C762" i="31"/>
  <c r="B762" i="31"/>
  <c r="C761" i="31"/>
  <c r="B761" i="31"/>
  <c r="C760" i="31"/>
  <c r="B760" i="31"/>
  <c r="C759" i="31"/>
  <c r="B759" i="31"/>
  <c r="C758" i="31"/>
  <c r="B758" i="31"/>
  <c r="C757" i="31"/>
  <c r="B757" i="31"/>
  <c r="C756" i="31"/>
  <c r="B756" i="31"/>
  <c r="C755" i="31"/>
  <c r="B755" i="31"/>
  <c r="C754" i="31"/>
  <c r="B754" i="31"/>
  <c r="C753" i="31"/>
  <c r="B753" i="31"/>
  <c r="C752" i="31"/>
  <c r="B752" i="31"/>
  <c r="C751" i="31"/>
  <c r="B751" i="31"/>
  <c r="C750" i="31"/>
  <c r="B750" i="31"/>
  <c r="C749" i="31"/>
  <c r="B749" i="31"/>
  <c r="C748" i="31"/>
  <c r="B748" i="31"/>
  <c r="C747" i="31"/>
  <c r="B747" i="31"/>
  <c r="C746" i="31"/>
  <c r="B746" i="31"/>
  <c r="C745" i="31"/>
  <c r="B745" i="31"/>
  <c r="C744" i="31"/>
  <c r="B744" i="31"/>
  <c r="C743" i="31"/>
  <c r="B743" i="31"/>
  <c r="C742" i="31"/>
  <c r="B742" i="31"/>
  <c r="C741" i="31"/>
  <c r="B741" i="31"/>
  <c r="C740" i="31"/>
  <c r="B740" i="31"/>
  <c r="C739" i="31"/>
  <c r="B739" i="31"/>
  <c r="C738" i="31"/>
  <c r="B738" i="31"/>
  <c r="C737" i="31"/>
  <c r="B737" i="31"/>
  <c r="C736" i="31"/>
  <c r="B736" i="31"/>
  <c r="C735" i="31"/>
  <c r="B735" i="31"/>
  <c r="C734" i="31"/>
  <c r="B734" i="31"/>
  <c r="C733" i="31"/>
  <c r="B733" i="31"/>
  <c r="C732" i="31"/>
  <c r="B732" i="31"/>
  <c r="C731" i="31"/>
  <c r="B731" i="31"/>
  <c r="C730" i="31"/>
  <c r="B730" i="31"/>
  <c r="C729" i="31"/>
  <c r="B729" i="31"/>
  <c r="C728" i="31"/>
  <c r="B728" i="31"/>
  <c r="C727" i="31"/>
  <c r="B727" i="31"/>
  <c r="C726" i="31"/>
  <c r="B726" i="31"/>
  <c r="C725" i="31"/>
  <c r="B725" i="31"/>
  <c r="C724" i="31"/>
  <c r="B724" i="31"/>
  <c r="C723" i="31"/>
  <c r="B723" i="31"/>
  <c r="C722" i="31"/>
  <c r="B722" i="31"/>
  <c r="C721" i="31"/>
  <c r="B721" i="31"/>
  <c r="C720" i="31"/>
  <c r="B720" i="31"/>
  <c r="C714" i="31"/>
  <c r="C713" i="31"/>
  <c r="B713" i="31"/>
  <c r="C712" i="31"/>
  <c r="B712" i="31"/>
  <c r="C711" i="31"/>
  <c r="B711" i="31"/>
  <c r="C710" i="31"/>
  <c r="B710" i="31"/>
  <c r="C709" i="31"/>
  <c r="B709" i="31"/>
  <c r="C708" i="31"/>
  <c r="B708" i="31"/>
  <c r="C707" i="31"/>
  <c r="B707" i="31"/>
  <c r="C706" i="31"/>
  <c r="B706" i="31"/>
  <c r="C705" i="31"/>
  <c r="B705" i="31"/>
  <c r="C704" i="31"/>
  <c r="B704" i="31"/>
  <c r="C703" i="31"/>
  <c r="B703" i="31"/>
  <c r="C702" i="31"/>
  <c r="B702" i="31"/>
  <c r="C701" i="31"/>
  <c r="B701" i="31"/>
  <c r="C700" i="31"/>
  <c r="B700" i="31"/>
  <c r="C699" i="31"/>
  <c r="B699" i="31"/>
  <c r="C698" i="31"/>
  <c r="B698" i="31"/>
  <c r="C697" i="31"/>
  <c r="B697" i="31"/>
  <c r="C696" i="31"/>
  <c r="B696" i="31"/>
  <c r="C695" i="31"/>
  <c r="B695" i="31"/>
  <c r="C694" i="31"/>
  <c r="C693" i="31"/>
  <c r="B693" i="31"/>
  <c r="C692" i="31"/>
  <c r="B692" i="31"/>
  <c r="C691" i="31"/>
  <c r="B691" i="31"/>
  <c r="C690" i="31"/>
  <c r="B690" i="31"/>
  <c r="C689" i="31"/>
  <c r="B689" i="31"/>
  <c r="C688" i="31"/>
  <c r="B688" i="31"/>
  <c r="C687" i="31"/>
  <c r="B687" i="31"/>
  <c r="C686" i="31"/>
  <c r="B686" i="31"/>
  <c r="C685" i="31"/>
  <c r="B685" i="31"/>
  <c r="C684" i="31"/>
  <c r="B684" i="31"/>
  <c r="C683" i="31"/>
  <c r="B683" i="31"/>
  <c r="C682" i="31"/>
  <c r="C681" i="31"/>
  <c r="B681" i="31"/>
  <c r="C680" i="31"/>
  <c r="B680" i="31"/>
  <c r="C679" i="31"/>
  <c r="B679" i="31"/>
  <c r="C678" i="31"/>
  <c r="B678" i="31"/>
  <c r="C677" i="31"/>
  <c r="B677" i="31"/>
  <c r="C676" i="31"/>
  <c r="B676" i="31"/>
  <c r="C675" i="31"/>
  <c r="B675" i="31"/>
  <c r="C674" i="31"/>
  <c r="B674" i="31"/>
  <c r="C673" i="31"/>
  <c r="B673" i="31"/>
  <c r="C672" i="31"/>
  <c r="B672" i="31"/>
  <c r="C671" i="31"/>
  <c r="B671" i="31"/>
  <c r="C670" i="31"/>
  <c r="B670" i="31"/>
  <c r="C669" i="31"/>
  <c r="B669" i="31"/>
  <c r="C668" i="31"/>
  <c r="B668" i="31"/>
  <c r="C667" i="31"/>
  <c r="B667" i="31"/>
  <c r="C666" i="31"/>
  <c r="B666" i="31"/>
  <c r="C665" i="31"/>
  <c r="B665" i="31"/>
  <c r="C664" i="31"/>
  <c r="B664" i="31"/>
  <c r="C663" i="31"/>
  <c r="B663" i="31"/>
  <c r="C662" i="31"/>
  <c r="C661" i="31"/>
  <c r="B661" i="31"/>
  <c r="C660" i="31"/>
  <c r="B660" i="31"/>
  <c r="C659" i="31"/>
  <c r="B659" i="31"/>
  <c r="C658" i="31"/>
  <c r="B658" i="31"/>
  <c r="C657" i="31"/>
  <c r="B657" i="31"/>
  <c r="C656" i="31"/>
  <c r="B656" i="31"/>
  <c r="C655" i="31"/>
  <c r="B655" i="31"/>
  <c r="C654" i="31"/>
  <c r="B654" i="31"/>
  <c r="C653" i="31"/>
  <c r="B653" i="31"/>
  <c r="C652" i="31"/>
  <c r="B652" i="31"/>
  <c r="C651" i="31"/>
  <c r="B651" i="31"/>
  <c r="C650" i="31"/>
  <c r="C649" i="31"/>
  <c r="B649" i="31"/>
  <c r="C648" i="31"/>
  <c r="B648" i="31"/>
  <c r="C647" i="31"/>
  <c r="B647" i="31"/>
  <c r="C646" i="31"/>
  <c r="B646" i="31"/>
  <c r="C645" i="31"/>
  <c r="B645" i="31"/>
  <c r="C644" i="31"/>
  <c r="B644" i="31"/>
  <c r="C643" i="31"/>
  <c r="B643" i="31"/>
  <c r="C642" i="31"/>
  <c r="B642" i="31"/>
  <c r="C641" i="31"/>
  <c r="B641" i="31"/>
  <c r="C640" i="31"/>
  <c r="B640" i="31"/>
  <c r="C639" i="31"/>
  <c r="B639" i="31"/>
  <c r="C638" i="31"/>
  <c r="B638" i="31"/>
  <c r="C637" i="31"/>
  <c r="B637" i="31"/>
  <c r="C636" i="31"/>
  <c r="B636" i="31"/>
  <c r="C635" i="31"/>
  <c r="B635" i="31"/>
  <c r="C634" i="31"/>
  <c r="B634" i="31"/>
  <c r="C633" i="31"/>
  <c r="B633" i="31"/>
  <c r="C632" i="31"/>
  <c r="B632" i="31"/>
  <c r="C631" i="31"/>
  <c r="B631" i="31"/>
  <c r="C630" i="31"/>
  <c r="C629" i="31"/>
  <c r="B629" i="31"/>
  <c r="C628" i="31"/>
  <c r="B628" i="31"/>
  <c r="C627" i="31"/>
  <c r="B627" i="31"/>
  <c r="C626" i="31"/>
  <c r="B626" i="31"/>
  <c r="C625" i="31"/>
  <c r="B625" i="31"/>
  <c r="C624" i="31"/>
  <c r="B624" i="31"/>
  <c r="C623" i="31"/>
  <c r="B623" i="31"/>
  <c r="C622" i="31"/>
  <c r="B622" i="31"/>
  <c r="C621" i="31"/>
  <c r="B621" i="31"/>
  <c r="C620" i="31"/>
  <c r="B620" i="31"/>
  <c r="C619" i="31"/>
  <c r="B619" i="31"/>
  <c r="C618" i="31"/>
  <c r="B618" i="31"/>
  <c r="C617" i="31"/>
  <c r="B617" i="31"/>
  <c r="C616" i="31"/>
  <c r="B616" i="31"/>
  <c r="C615" i="31"/>
  <c r="B615" i="31"/>
  <c r="C614" i="31"/>
  <c r="B614" i="31"/>
  <c r="C613" i="31"/>
  <c r="B613" i="31"/>
  <c r="C612" i="31"/>
  <c r="B612" i="31"/>
  <c r="C611" i="31"/>
  <c r="B611" i="31"/>
  <c r="C610" i="31"/>
  <c r="B610" i="31"/>
  <c r="C609" i="31"/>
  <c r="B609" i="31"/>
  <c r="C608" i="31"/>
  <c r="B608" i="31"/>
  <c r="C607" i="31"/>
  <c r="B607" i="31"/>
  <c r="C606" i="31"/>
  <c r="B606" i="31"/>
  <c r="C605" i="31"/>
  <c r="B605" i="31"/>
  <c r="C604" i="31"/>
  <c r="B604" i="31"/>
  <c r="C603" i="31"/>
  <c r="B603" i="31"/>
  <c r="C602" i="31"/>
  <c r="B602" i="31"/>
  <c r="C601" i="31"/>
  <c r="B601" i="31"/>
  <c r="C600" i="31"/>
  <c r="B600" i="31"/>
  <c r="C599" i="31"/>
  <c r="B599" i="31"/>
  <c r="C598" i="31"/>
  <c r="C597" i="31"/>
  <c r="B597" i="31"/>
  <c r="C596" i="31"/>
  <c r="B596" i="31"/>
  <c r="C595" i="31"/>
  <c r="B595" i="31"/>
  <c r="C594" i="31"/>
  <c r="B594" i="31"/>
  <c r="C593" i="31"/>
  <c r="B593" i="31"/>
  <c r="C592" i="31"/>
  <c r="B592" i="31"/>
  <c r="C591" i="31"/>
  <c r="B591" i="31"/>
  <c r="C590" i="31"/>
  <c r="B590" i="31"/>
  <c r="C589" i="31"/>
  <c r="B589" i="31"/>
  <c r="C588" i="31"/>
  <c r="B588" i="31"/>
  <c r="C587" i="31"/>
  <c r="B587" i="31"/>
  <c r="C586" i="31"/>
  <c r="B586" i="31"/>
  <c r="C585" i="31"/>
  <c r="B585" i="31"/>
  <c r="C584" i="31"/>
  <c r="B584" i="31"/>
  <c r="C583" i="31"/>
  <c r="B583" i="31"/>
  <c r="C582" i="31"/>
  <c r="B582" i="31"/>
  <c r="C581" i="31"/>
  <c r="B581" i="31"/>
  <c r="C580" i="31"/>
  <c r="B580" i="31"/>
  <c r="C579" i="31"/>
  <c r="B579" i="31"/>
  <c r="C578" i="31"/>
  <c r="B578" i="31"/>
  <c r="C577" i="31"/>
  <c r="B577" i="31"/>
  <c r="C576" i="31"/>
  <c r="B576" i="31"/>
  <c r="C575" i="31"/>
  <c r="B575" i="31"/>
  <c r="C574" i="31"/>
  <c r="B574" i="31"/>
  <c r="C573" i="31"/>
  <c r="B573" i="31"/>
  <c r="C572" i="31"/>
  <c r="B572" i="31"/>
  <c r="C571" i="31"/>
  <c r="B571" i="31"/>
  <c r="C570" i="31"/>
  <c r="B570" i="31"/>
  <c r="C569" i="31"/>
  <c r="B569" i="31"/>
  <c r="C568" i="31"/>
  <c r="B568" i="31"/>
  <c r="C567" i="31"/>
  <c r="B567" i="31"/>
  <c r="C566" i="31"/>
  <c r="C565" i="31"/>
  <c r="B565" i="31"/>
  <c r="C564" i="31"/>
  <c r="B564" i="31"/>
  <c r="C563" i="31"/>
  <c r="B563" i="31"/>
  <c r="C562" i="31"/>
  <c r="B562" i="31"/>
  <c r="C561" i="31"/>
  <c r="B561" i="31"/>
  <c r="C560" i="31"/>
  <c r="B560" i="31"/>
  <c r="C559" i="31"/>
  <c r="B559" i="31"/>
  <c r="C558" i="31"/>
  <c r="B558" i="31"/>
  <c r="C557" i="31"/>
  <c r="B557" i="31"/>
  <c r="C556" i="31"/>
  <c r="B556" i="31"/>
  <c r="C555" i="31"/>
  <c r="B555" i="31"/>
  <c r="C554" i="31"/>
  <c r="B554" i="31"/>
  <c r="C553" i="31"/>
  <c r="B553" i="31"/>
  <c r="C552" i="31"/>
  <c r="B552" i="31"/>
  <c r="C551" i="31"/>
  <c r="B551" i="31"/>
  <c r="C550" i="31"/>
  <c r="B550" i="31"/>
  <c r="C549" i="31"/>
  <c r="B549" i="31"/>
  <c r="C548" i="31"/>
  <c r="B548" i="31"/>
  <c r="C547" i="31"/>
  <c r="B547" i="31"/>
  <c r="C546" i="31"/>
  <c r="B546" i="31"/>
  <c r="C545" i="31"/>
  <c r="B545" i="31"/>
  <c r="C544" i="31"/>
  <c r="B544" i="31"/>
  <c r="C543" i="31"/>
  <c r="B543" i="31"/>
  <c r="C542" i="31"/>
  <c r="B542" i="31"/>
  <c r="C541" i="31"/>
  <c r="B541" i="31"/>
  <c r="C540" i="31"/>
  <c r="B540" i="31"/>
  <c r="C539" i="31"/>
  <c r="B539" i="31"/>
  <c r="C538" i="31"/>
  <c r="B538" i="31"/>
  <c r="C537" i="31"/>
  <c r="B537" i="31"/>
  <c r="C536" i="31"/>
  <c r="B536" i="31"/>
  <c r="C535" i="31"/>
  <c r="B535" i="31"/>
  <c r="C534" i="31"/>
  <c r="C533" i="31"/>
  <c r="B533" i="31"/>
  <c r="C532" i="31"/>
  <c r="B532" i="31"/>
  <c r="C531" i="31"/>
  <c r="B531" i="31"/>
  <c r="C530" i="31"/>
  <c r="B530" i="31"/>
  <c r="C529" i="31"/>
  <c r="B529" i="31"/>
  <c r="C528" i="31"/>
  <c r="B528" i="31"/>
  <c r="C527" i="31"/>
  <c r="B527" i="31"/>
  <c r="C526" i="31"/>
  <c r="B526" i="31"/>
  <c r="C525" i="31"/>
  <c r="B525" i="31"/>
  <c r="C524" i="31"/>
  <c r="B524" i="31"/>
  <c r="C523" i="31"/>
  <c r="B523" i="31"/>
  <c r="C522" i="31"/>
  <c r="B522" i="31"/>
  <c r="C521" i="31"/>
  <c r="B521" i="31"/>
  <c r="C520" i="31"/>
  <c r="B520" i="31"/>
  <c r="C519" i="31"/>
  <c r="B519" i="31"/>
  <c r="C518" i="31"/>
  <c r="B518" i="31"/>
  <c r="C517" i="31"/>
  <c r="B517" i="31"/>
  <c r="C516" i="31"/>
  <c r="B516" i="31"/>
  <c r="C515" i="31"/>
  <c r="B515" i="31"/>
  <c r="C514" i="31"/>
  <c r="B514" i="31"/>
  <c r="C513" i="31"/>
  <c r="B513" i="31"/>
  <c r="C512" i="31"/>
  <c r="B512" i="31"/>
  <c r="C511" i="31"/>
  <c r="B511" i="31"/>
  <c r="C510" i="31"/>
  <c r="B510" i="31"/>
  <c r="C509" i="31"/>
  <c r="B509" i="31"/>
  <c r="C508" i="31"/>
  <c r="B508" i="31"/>
  <c r="C507" i="31"/>
  <c r="B507" i="31"/>
  <c r="C506" i="31"/>
  <c r="B506" i="31"/>
  <c r="C505" i="31"/>
  <c r="B505" i="31"/>
  <c r="C504" i="31"/>
  <c r="B504" i="31"/>
  <c r="C503" i="31"/>
  <c r="B503" i="31"/>
  <c r="C502" i="31"/>
  <c r="C501" i="31"/>
  <c r="B501" i="31"/>
  <c r="C500" i="31"/>
  <c r="B500" i="31"/>
  <c r="C499" i="31"/>
  <c r="B499" i="31"/>
  <c r="C498" i="31"/>
  <c r="B498" i="31"/>
  <c r="C497" i="31"/>
  <c r="B497" i="31"/>
  <c r="C496" i="31"/>
  <c r="B496" i="31"/>
  <c r="C495" i="31"/>
  <c r="B495" i="31"/>
  <c r="C494" i="31"/>
  <c r="B494" i="31"/>
  <c r="C493" i="31"/>
  <c r="B493" i="31"/>
  <c r="C492" i="31"/>
  <c r="B492" i="31"/>
  <c r="C491" i="31"/>
  <c r="B491" i="31"/>
  <c r="C490" i="31"/>
  <c r="B490" i="31"/>
  <c r="C489" i="31"/>
  <c r="B489" i="31"/>
  <c r="C488" i="31"/>
  <c r="B488" i="31"/>
  <c r="C487" i="31"/>
  <c r="B487" i="31"/>
  <c r="C486" i="31"/>
  <c r="B486" i="31"/>
  <c r="C485" i="31"/>
  <c r="B485" i="31"/>
  <c r="C484" i="31"/>
  <c r="B484" i="31"/>
  <c r="C483" i="31"/>
  <c r="B483" i="31"/>
  <c r="C482" i="31"/>
  <c r="B482" i="31"/>
  <c r="C481" i="31"/>
  <c r="B481" i="31"/>
  <c r="C480" i="31"/>
  <c r="B480" i="31"/>
  <c r="C479" i="31"/>
  <c r="B479" i="31"/>
  <c r="C478" i="31"/>
  <c r="B478" i="31"/>
  <c r="C477" i="31"/>
  <c r="B477" i="31"/>
  <c r="C476" i="31"/>
  <c r="B476" i="31"/>
  <c r="C475" i="31"/>
  <c r="B475" i="31"/>
  <c r="C474" i="31"/>
  <c r="B474" i="31"/>
  <c r="C473" i="31"/>
  <c r="B473" i="31"/>
  <c r="C472" i="31"/>
  <c r="B472" i="31"/>
  <c r="C471" i="31"/>
  <c r="B471" i="31"/>
  <c r="C470" i="31"/>
  <c r="C469" i="31"/>
  <c r="B469" i="31"/>
  <c r="C468" i="31"/>
  <c r="B468" i="31"/>
  <c r="C467" i="31"/>
  <c r="B467" i="31"/>
  <c r="C466" i="31"/>
  <c r="B466" i="31"/>
  <c r="C465" i="31"/>
  <c r="B465" i="31"/>
  <c r="C464" i="31"/>
  <c r="B464" i="31"/>
  <c r="C463" i="31"/>
  <c r="B463" i="31"/>
  <c r="C462" i="31"/>
  <c r="B462" i="31"/>
  <c r="C461" i="31"/>
  <c r="B461" i="31"/>
  <c r="C460" i="31"/>
  <c r="B460" i="31"/>
  <c r="C459" i="31"/>
  <c r="B459" i="31"/>
  <c r="C458" i="31"/>
  <c r="B458" i="31"/>
  <c r="C457" i="31"/>
  <c r="B457" i="31"/>
  <c r="C456" i="31"/>
  <c r="B456" i="31"/>
  <c r="C455" i="31"/>
  <c r="B455" i="31"/>
  <c r="C454" i="31"/>
  <c r="B454" i="31"/>
  <c r="C453" i="31"/>
  <c r="B453" i="31"/>
  <c r="C452" i="31"/>
  <c r="B452" i="31"/>
  <c r="C451" i="31"/>
  <c r="B451" i="31"/>
  <c r="C450" i="31"/>
  <c r="B450" i="31"/>
  <c r="C449" i="31"/>
  <c r="B449" i="31"/>
  <c r="C448" i="31"/>
  <c r="B448" i="31"/>
  <c r="C447" i="31"/>
  <c r="B447" i="31"/>
  <c r="C446" i="31"/>
  <c r="B446" i="31"/>
  <c r="C445" i="31"/>
  <c r="B445" i="31"/>
  <c r="C444" i="31"/>
  <c r="B444" i="31"/>
  <c r="C443" i="31"/>
  <c r="B443" i="31"/>
  <c r="C442" i="31"/>
  <c r="B442" i="31"/>
  <c r="C441" i="31"/>
  <c r="B441" i="31"/>
  <c r="C440" i="31"/>
  <c r="B440" i="31"/>
  <c r="C439" i="31"/>
  <c r="B439" i="31"/>
  <c r="C438" i="31"/>
  <c r="C437" i="31"/>
  <c r="C436" i="31"/>
  <c r="C435" i="31"/>
  <c r="B437" i="31"/>
  <c r="B436" i="31"/>
  <c r="B435" i="31"/>
  <c r="C406" i="31"/>
  <c r="C402" i="31"/>
  <c r="B402" i="31"/>
  <c r="C401" i="31"/>
  <c r="B401" i="31"/>
  <c r="C400" i="31"/>
  <c r="B400" i="31"/>
  <c r="C399" i="31"/>
  <c r="B399" i="31"/>
  <c r="C398" i="31"/>
  <c r="B398" i="31"/>
  <c r="C397" i="31"/>
  <c r="B397" i="31"/>
  <c r="C396" i="31"/>
  <c r="B396" i="31"/>
  <c r="C395" i="31"/>
  <c r="B395" i="31"/>
  <c r="C394" i="31"/>
  <c r="B394" i="31"/>
  <c r="C393" i="31"/>
  <c r="B393" i="31"/>
  <c r="C392" i="31"/>
  <c r="B392" i="31"/>
  <c r="C391" i="31"/>
  <c r="B391" i="31"/>
  <c r="C390" i="31"/>
  <c r="B390" i="31"/>
  <c r="C389" i="31"/>
  <c r="B389" i="31"/>
  <c r="C388" i="31"/>
  <c r="B388" i="31"/>
  <c r="C387" i="31"/>
  <c r="B387" i="31"/>
  <c r="C386" i="31"/>
  <c r="B386" i="31"/>
  <c r="C385" i="31"/>
  <c r="B385" i="31"/>
  <c r="C384" i="31"/>
  <c r="B384" i="31"/>
  <c r="C383" i="31"/>
  <c r="B383" i="31"/>
  <c r="C382" i="31"/>
  <c r="B382" i="31"/>
  <c r="C381" i="31"/>
  <c r="B381" i="31"/>
  <c r="C380" i="31"/>
  <c r="B380" i="31"/>
  <c r="C379" i="31"/>
  <c r="B379" i="31"/>
  <c r="C378" i="31"/>
  <c r="B378" i="31"/>
  <c r="C377" i="31"/>
  <c r="B377" i="31"/>
  <c r="C376" i="31"/>
  <c r="B376" i="31"/>
  <c r="C375" i="31"/>
  <c r="B375" i="31"/>
  <c r="C374" i="31"/>
  <c r="B374" i="31"/>
  <c r="C373" i="31"/>
  <c r="B373" i="31"/>
  <c r="C372" i="31"/>
  <c r="B372" i="31"/>
  <c r="C371" i="31"/>
  <c r="B371" i="31"/>
  <c r="C370" i="31"/>
  <c r="B370" i="31"/>
  <c r="C369" i="31"/>
  <c r="B369" i="31"/>
  <c r="C368" i="31"/>
  <c r="B368" i="31"/>
  <c r="C367" i="31"/>
  <c r="B367" i="31"/>
  <c r="C366" i="31"/>
  <c r="B366" i="31"/>
  <c r="C365" i="31"/>
  <c r="B365" i="31"/>
  <c r="C364" i="31"/>
  <c r="B364" i="31"/>
  <c r="C363" i="31"/>
  <c r="B363" i="31"/>
  <c r="C362" i="31"/>
  <c r="B362" i="31"/>
  <c r="C361" i="31"/>
  <c r="B361" i="31"/>
  <c r="C360" i="31"/>
  <c r="B360" i="31"/>
  <c r="C359" i="31"/>
  <c r="B359" i="31"/>
  <c r="C358" i="31"/>
  <c r="B358" i="31"/>
  <c r="C357" i="31"/>
  <c r="B357" i="31"/>
  <c r="C356" i="31"/>
  <c r="B356" i="31"/>
  <c r="C355" i="31"/>
  <c r="B355" i="31"/>
  <c r="C354" i="31"/>
  <c r="B354" i="31"/>
  <c r="C353" i="31"/>
  <c r="B353" i="31"/>
  <c r="C352" i="31"/>
  <c r="B352" i="31"/>
  <c r="C351" i="31"/>
  <c r="B351" i="31"/>
  <c r="C350" i="31"/>
  <c r="B350" i="31"/>
  <c r="C349" i="31"/>
  <c r="B349" i="31"/>
  <c r="C348" i="31"/>
  <c r="B348" i="31"/>
  <c r="C347" i="31"/>
  <c r="B347" i="31"/>
  <c r="C196" i="31"/>
  <c r="C193" i="31"/>
  <c r="C190" i="31"/>
  <c r="C187" i="31"/>
  <c r="C184" i="31"/>
  <c r="C181" i="31"/>
  <c r="C178" i="31"/>
  <c r="C175" i="31"/>
  <c r="C172" i="31"/>
  <c r="C169" i="31"/>
  <c r="C166" i="31"/>
  <c r="C163" i="31"/>
  <c r="C157" i="31"/>
  <c r="C154" i="31"/>
  <c r="C151" i="31"/>
  <c r="C148" i="31"/>
  <c r="C145" i="31"/>
  <c r="C142" i="31"/>
  <c r="C139" i="31"/>
  <c r="C136" i="31"/>
  <c r="C133" i="31"/>
  <c r="C130" i="31"/>
  <c r="C127" i="31"/>
  <c r="C124" i="31"/>
  <c r="C118" i="31"/>
  <c r="C115" i="31"/>
  <c r="C112" i="31"/>
  <c r="C109" i="31"/>
  <c r="C106" i="31"/>
  <c r="C103" i="31"/>
  <c r="C100" i="31"/>
  <c r="C97" i="31"/>
  <c r="C94" i="31"/>
  <c r="C91" i="31"/>
  <c r="C88" i="31"/>
  <c r="C85" i="31"/>
  <c r="C82" i="31"/>
  <c r="C79" i="31"/>
  <c r="C76" i="31"/>
  <c r="C73" i="31"/>
  <c r="C70" i="31"/>
  <c r="C67" i="31"/>
  <c r="C64" i="31"/>
  <c r="C61" i="31"/>
  <c r="C58" i="31"/>
  <c r="C55" i="31"/>
  <c r="C52" i="31"/>
  <c r="C49" i="31"/>
  <c r="C46" i="31"/>
  <c r="C40" i="31"/>
  <c r="C37" i="31"/>
  <c r="C34" i="31"/>
  <c r="C31" i="31"/>
  <c r="C28" i="31"/>
  <c r="C25" i="31"/>
  <c r="C22" i="31"/>
  <c r="C19" i="31"/>
  <c r="C16" i="31"/>
  <c r="C13" i="31"/>
  <c r="C10" i="31"/>
  <c r="C7" i="31"/>
  <c r="C195" i="31"/>
  <c r="C192" i="31"/>
  <c r="C189" i="31"/>
  <c r="C186" i="31"/>
  <c r="C183" i="31"/>
  <c r="C180" i="31"/>
  <c r="C177" i="31"/>
  <c r="C174" i="31"/>
  <c r="C171" i="31"/>
  <c r="C168" i="31"/>
  <c r="C165" i="31"/>
  <c r="C162" i="31"/>
  <c r="C156" i="31"/>
  <c r="C153" i="31"/>
  <c r="C150" i="31"/>
  <c r="C147" i="31"/>
  <c r="C144" i="31"/>
  <c r="C141" i="31"/>
  <c r="C138" i="31"/>
  <c r="C135" i="31"/>
  <c r="C132" i="31"/>
  <c r="C129" i="31"/>
  <c r="C126" i="31"/>
  <c r="C123" i="31"/>
  <c r="C120" i="31"/>
  <c r="C117" i="31"/>
  <c r="C114" i="31"/>
  <c r="C111" i="31"/>
  <c r="C108" i="31"/>
  <c r="C105" i="31"/>
  <c r="C102" i="31"/>
  <c r="C99" i="31"/>
  <c r="C96" i="31"/>
  <c r="C93" i="31"/>
  <c r="C90" i="31"/>
  <c r="C87" i="31"/>
  <c r="C84" i="31"/>
  <c r="C81" i="31"/>
  <c r="C78" i="31"/>
  <c r="C75" i="31"/>
  <c r="C72" i="31"/>
  <c r="C69" i="31"/>
  <c r="C66" i="31"/>
  <c r="C63" i="31"/>
  <c r="C60" i="31"/>
  <c r="C57" i="31"/>
  <c r="C54" i="31"/>
  <c r="C51" i="31"/>
  <c r="C48" i="31"/>
  <c r="C45" i="31"/>
  <c r="C39" i="31"/>
  <c r="C36" i="31"/>
  <c r="C33" i="31"/>
  <c r="C30" i="31"/>
  <c r="C27" i="31"/>
  <c r="C24" i="31"/>
  <c r="C21" i="31"/>
  <c r="C18" i="31"/>
  <c r="C15" i="31"/>
  <c r="C12" i="31"/>
  <c r="C9" i="31"/>
  <c r="C6" i="31"/>
  <c r="C197" i="31"/>
  <c r="C194" i="31"/>
  <c r="C191" i="31"/>
  <c r="C188" i="31"/>
  <c r="C185" i="31"/>
  <c r="C182" i="31"/>
  <c r="C179" i="31"/>
  <c r="C176" i="31"/>
  <c r="C173" i="31"/>
  <c r="C170" i="31"/>
  <c r="C167" i="31"/>
  <c r="C164" i="31"/>
  <c r="C161" i="31"/>
  <c r="C155" i="31"/>
  <c r="C152" i="31"/>
  <c r="C149" i="31"/>
  <c r="C146" i="31"/>
  <c r="C143" i="31"/>
  <c r="C140" i="31"/>
  <c r="C137" i="31"/>
  <c r="C134" i="31"/>
  <c r="C131" i="31"/>
  <c r="C128" i="31"/>
  <c r="C125" i="31"/>
  <c r="C122" i="31"/>
  <c r="C119" i="31"/>
  <c r="C116" i="31"/>
  <c r="C113" i="31"/>
  <c r="C110" i="31"/>
  <c r="C107" i="31"/>
  <c r="C104" i="31"/>
  <c r="C101" i="31"/>
  <c r="C98" i="31"/>
  <c r="C95" i="31"/>
  <c r="C92" i="31"/>
  <c r="C89" i="31"/>
  <c r="C86" i="31"/>
  <c r="C83" i="31"/>
  <c r="C80" i="31"/>
  <c r="C77" i="31"/>
  <c r="C74" i="31"/>
  <c r="C71" i="31"/>
  <c r="C68" i="31"/>
  <c r="C65" i="31"/>
  <c r="C62" i="31"/>
  <c r="C59" i="31"/>
  <c r="C56" i="31"/>
  <c r="C53" i="31"/>
  <c r="C50" i="31"/>
  <c r="C47" i="31"/>
  <c r="C44" i="31"/>
  <c r="C38" i="31"/>
  <c r="C35" i="31"/>
  <c r="C32" i="31"/>
  <c r="C29" i="31"/>
  <c r="C26" i="31"/>
  <c r="C23" i="31"/>
  <c r="C20" i="31"/>
  <c r="C17" i="31"/>
  <c r="C14" i="31"/>
  <c r="C11" i="31"/>
  <c r="C8" i="31"/>
  <c r="C5" i="31"/>
  <c r="B7" i="31"/>
  <c r="B5" i="31"/>
  <c r="B121" i="31"/>
  <c r="B119" i="31"/>
  <c r="B82" i="31"/>
  <c r="B81" i="31"/>
  <c r="B80" i="31"/>
  <c r="B43" i="31"/>
  <c r="B42" i="31"/>
  <c r="B198" i="31"/>
  <c r="B197" i="31"/>
  <c r="B196" i="31"/>
  <c r="B195" i="31"/>
  <c r="B194" i="31"/>
  <c r="B193" i="31"/>
  <c r="B192" i="31"/>
  <c r="B191" i="31"/>
  <c r="B190" i="31"/>
  <c r="B189" i="31"/>
  <c r="B188" i="31"/>
  <c r="B187" i="31"/>
  <c r="B186" i="31"/>
  <c r="B185" i="31"/>
  <c r="B184" i="31"/>
  <c r="B183" i="31"/>
  <c r="B182" i="31"/>
  <c r="B181" i="31"/>
  <c r="B180" i="31"/>
  <c r="B179" i="31"/>
  <c r="B178" i="31"/>
  <c r="B177" i="31"/>
  <c r="B176" i="31"/>
  <c r="B175" i="31"/>
  <c r="B174" i="31"/>
  <c r="B173" i="31"/>
  <c r="B172" i="31"/>
  <c r="B171" i="31"/>
  <c r="B170" i="31"/>
  <c r="B169" i="31"/>
  <c r="B168" i="31"/>
  <c r="B167" i="31"/>
  <c r="B166" i="31"/>
  <c r="B165" i="31"/>
  <c r="B164" i="31"/>
  <c r="B163" i="31"/>
  <c r="B162" i="31"/>
  <c r="B161" i="31"/>
  <c r="B157" i="31"/>
  <c r="B156" i="31"/>
  <c r="B155" i="31"/>
  <c r="B154" i="31"/>
  <c r="B153" i="31"/>
  <c r="B152" i="31"/>
  <c r="B151" i="31"/>
  <c r="B150" i="31"/>
  <c r="B149" i="31"/>
  <c r="B148" i="31"/>
  <c r="B147" i="31"/>
  <c r="B146" i="31"/>
  <c r="B145" i="31"/>
  <c r="B144" i="31"/>
  <c r="B143" i="31"/>
  <c r="B142" i="31"/>
  <c r="B141" i="31"/>
  <c r="B140" i="31"/>
  <c r="B139" i="31"/>
  <c r="B138" i="31"/>
  <c r="B137" i="31"/>
  <c r="B136" i="31"/>
  <c r="B135" i="31"/>
  <c r="B134" i="31"/>
  <c r="B133" i="31"/>
  <c r="B132" i="31"/>
  <c r="B131" i="31"/>
  <c r="B130" i="31"/>
  <c r="B129" i="31"/>
  <c r="B128" i="31"/>
  <c r="B127" i="31"/>
  <c r="B126" i="31"/>
  <c r="B125" i="31"/>
  <c r="B124" i="31"/>
  <c r="B123" i="31"/>
  <c r="B122" i="31"/>
  <c r="B118" i="31"/>
  <c r="B117" i="31"/>
  <c r="B116" i="31"/>
  <c r="B115" i="31"/>
  <c r="B114" i="31"/>
  <c r="B113" i="31"/>
  <c r="B112" i="31"/>
  <c r="B111" i="31"/>
  <c r="B110" i="31"/>
  <c r="B109" i="31"/>
  <c r="B108" i="31"/>
  <c r="B107" i="31"/>
  <c r="B106" i="31"/>
  <c r="B105" i="31"/>
  <c r="B104" i="31"/>
  <c r="B103" i="31"/>
  <c r="B102" i="31"/>
  <c r="B101" i="31"/>
  <c r="B100" i="31"/>
  <c r="B99" i="31"/>
  <c r="B98" i="31"/>
  <c r="B97" i="31"/>
  <c r="B96" i="31"/>
  <c r="B95" i="31"/>
  <c r="B94" i="31"/>
  <c r="B93" i="31"/>
  <c r="B92" i="31"/>
  <c r="B91" i="31"/>
  <c r="B90" i="31"/>
  <c r="B89" i="31"/>
  <c r="B88" i="31"/>
  <c r="B87" i="31"/>
  <c r="B86" i="31"/>
  <c r="B85" i="31"/>
  <c r="B84" i="31"/>
  <c r="B83" i="3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49" i="31"/>
  <c r="B48" i="31"/>
  <c r="B47" i="31"/>
  <c r="B46" i="31"/>
  <c r="B45" i="31"/>
  <c r="B44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9" i="31"/>
  <c r="B10" i="31"/>
  <c r="B52" i="31"/>
  <c r="B51" i="31"/>
  <c r="B50" i="31"/>
  <c r="B40" i="31"/>
  <c r="B39" i="31"/>
  <c r="B38" i="31"/>
  <c r="B13" i="31"/>
  <c r="B12" i="31"/>
  <c r="B11" i="31"/>
  <c r="B6" i="31"/>
  <c r="B1008" i="31"/>
  <c r="N56" i="17"/>
  <c r="C408" i="31"/>
  <c r="C56" i="17"/>
  <c r="L56" i="17"/>
  <c r="B408" i="31"/>
  <c r="A1058" i="31"/>
  <c r="A566" i="31"/>
  <c r="A378" i="31"/>
  <c r="A309" i="31"/>
  <c r="A351" i="31"/>
  <c r="A436" i="31"/>
  <c r="A457" i="31"/>
  <c r="A87" i="31"/>
  <c r="A946" i="31"/>
  <c r="A1144" i="31"/>
  <c r="A380" i="31"/>
  <c r="A525" i="31"/>
  <c r="A667" i="31"/>
  <c r="A352" i="31"/>
  <c r="A427" i="31"/>
  <c r="A336" i="31"/>
  <c r="A1145" i="31"/>
  <c r="A570" i="31"/>
  <c r="A954" i="31"/>
  <c r="A759" i="31"/>
  <c r="A1113" i="31"/>
  <c r="A1071" i="31"/>
  <c r="A201" i="31"/>
  <c r="A670" i="31"/>
  <c r="A1007" i="31"/>
  <c r="A546" i="31"/>
  <c r="A863" i="31"/>
  <c r="A446" i="31"/>
  <c r="A75" i="31"/>
  <c r="A262" i="31"/>
  <c r="A281" i="31"/>
  <c r="A122" i="31"/>
  <c r="A1076" i="31"/>
  <c r="A1150" i="31"/>
  <c r="A923" i="31"/>
  <c r="A955" i="31"/>
  <c r="A1205" i="31"/>
  <c r="A887" i="31"/>
  <c r="A303" i="31"/>
  <c r="A1082" i="31"/>
  <c r="A1153" i="31"/>
  <c r="A999" i="31"/>
  <c r="A558" i="31"/>
  <c r="A650" i="31"/>
  <c r="A647" i="31"/>
  <c r="A144" i="31"/>
  <c r="A17" i="31"/>
  <c r="A447" i="31"/>
  <c r="A1089" i="31"/>
  <c r="A927" i="31"/>
  <c r="A901" i="31"/>
  <c r="A812" i="31"/>
  <c r="A498" i="31"/>
  <c r="A735" i="31"/>
  <c r="A474" i="31"/>
  <c r="A755" i="31"/>
  <c r="A638" i="31"/>
  <c r="A1034" i="31"/>
  <c r="A704" i="31"/>
  <c r="A575" i="31"/>
  <c r="A728" i="31"/>
  <c r="A63" i="31"/>
  <c r="A656" i="31"/>
  <c r="A1035" i="31"/>
  <c r="A51" i="31"/>
  <c r="A120" i="31"/>
  <c r="A1178" i="31"/>
  <c r="A644" i="31"/>
  <c r="A125" i="31"/>
  <c r="A231" i="31"/>
  <c r="A173" i="31"/>
  <c r="A922" i="31"/>
  <c r="A482" i="31"/>
  <c r="A1197" i="31"/>
  <c r="A1092" i="31"/>
  <c r="A1134" i="31"/>
  <c r="A188" i="31"/>
  <c r="A1156" i="31"/>
  <c r="A1075" i="31"/>
  <c r="A1201" i="31"/>
  <c r="A249" i="31"/>
  <c r="A495" i="31"/>
  <c r="A662" i="31"/>
  <c r="A796" i="31"/>
  <c r="A267" i="31"/>
  <c r="A827" i="31"/>
  <c r="A801" i="31"/>
  <c r="A810" i="31"/>
  <c r="A193" i="31"/>
  <c r="A220" i="31"/>
  <c r="A1163" i="31"/>
  <c r="A233" i="31"/>
  <c r="A798" i="31"/>
  <c r="A72" i="31"/>
  <c r="A12" i="31"/>
  <c r="A1072" i="31"/>
  <c r="A907" i="31"/>
  <c r="A311" i="31"/>
  <c r="A1179" i="31"/>
  <c r="A648" i="31"/>
  <c r="A332" i="31"/>
  <c r="A1198" i="31"/>
  <c r="A329" i="31"/>
  <c r="A1090" i="31"/>
  <c r="A1161" i="31"/>
  <c r="A679" i="31"/>
  <c r="A481" i="31"/>
  <c r="A18" i="31"/>
  <c r="A430" i="31"/>
  <c r="A742" i="31"/>
  <c r="A31" i="31"/>
  <c r="A100" i="31"/>
  <c r="A602" i="31"/>
  <c r="A894" i="31"/>
  <c r="A1186" i="31"/>
  <c r="A761" i="31"/>
  <c r="A765" i="31"/>
  <c r="A1116" i="31"/>
  <c r="A635" i="31"/>
  <c r="A989" i="31"/>
  <c r="A437" i="31"/>
  <c r="A1029" i="31"/>
  <c r="A1080" i="31"/>
  <c r="A130" i="31"/>
  <c r="A1023" i="31"/>
  <c r="A394" i="31"/>
  <c r="A6" i="31"/>
  <c r="A750" i="31"/>
  <c r="A59" i="31"/>
  <c r="A681" i="31"/>
  <c r="A671" i="31"/>
  <c r="A36" i="31"/>
  <c r="A724" i="31"/>
  <c r="A908" i="31"/>
  <c r="A985" i="31"/>
  <c r="A666" i="31"/>
  <c r="A1188" i="31"/>
  <c r="A941" i="31"/>
  <c r="A542" i="31"/>
  <c r="A139" i="31"/>
  <c r="A1064" i="31"/>
  <c r="A1190" i="31"/>
  <c r="A386" i="31"/>
  <c r="A654" i="31"/>
  <c r="A733" i="31"/>
  <c r="A549" i="31"/>
  <c r="A1049" i="31"/>
  <c r="A557" i="31"/>
  <c r="A42" i="31"/>
  <c r="A200" i="31"/>
  <c r="A435" i="31"/>
  <c r="A64" i="31"/>
  <c r="A543" i="31"/>
  <c r="A695" i="31"/>
  <c r="A881" i="31"/>
  <c r="A128" i="31"/>
  <c r="A857" i="31"/>
  <c r="A1052" i="31"/>
  <c r="A870" i="31"/>
  <c r="A194" i="31"/>
  <c r="A489" i="31"/>
  <c r="A445" i="31"/>
  <c r="A507" i="31"/>
  <c r="A715" i="31"/>
  <c r="A161" i="31"/>
  <c r="A115" i="31"/>
  <c r="A221" i="31"/>
  <c r="A1078" i="31"/>
  <c r="A550" i="31"/>
  <c r="A56" i="31"/>
  <c r="A1225" i="31"/>
  <c r="A356" i="31"/>
  <c r="A828" i="31"/>
  <c r="A1000" i="31"/>
  <c r="A28" i="31"/>
  <c r="A864" i="31"/>
  <c r="A334" i="31"/>
  <c r="A428" i="31"/>
  <c r="A665" i="31"/>
  <c r="A734" i="31"/>
  <c r="A76" i="31"/>
  <c r="A214" i="31"/>
  <c r="A740" i="31"/>
  <c r="A288" i="31"/>
  <c r="A633" i="31"/>
  <c r="A460" i="31"/>
  <c r="A521" i="31"/>
  <c r="A32" i="31"/>
  <c r="A408" i="31"/>
  <c r="A574" i="31"/>
  <c r="A502" i="31"/>
  <c r="A556" i="31"/>
  <c r="A526" i="31"/>
  <c r="A815" i="31"/>
  <c r="A238" i="31"/>
  <c r="A824" i="31"/>
  <c r="A1203" i="31"/>
  <c r="A382" i="31"/>
  <c r="A1130" i="31"/>
  <c r="A582" i="31"/>
  <c r="A1110" i="31"/>
  <c r="A925" i="31"/>
  <c r="A513" i="31"/>
  <c r="A935" i="31"/>
  <c r="A976" i="31"/>
  <c r="A1131" i="31"/>
  <c r="A820" i="31"/>
  <c r="A793" i="31"/>
  <c r="A1224" i="31"/>
  <c r="A131" i="31"/>
  <c r="A1127" i="31"/>
  <c r="A176" i="31"/>
  <c r="A1033" i="31"/>
  <c r="A232" i="31"/>
  <c r="A375" i="31"/>
  <c r="A1077" i="31"/>
  <c r="A355" i="31"/>
  <c r="A484" i="31"/>
  <c r="A239" i="31"/>
  <c r="A842" i="31"/>
  <c r="A874" i="31"/>
  <c r="A282" i="31"/>
  <c r="A697" i="31"/>
  <c r="A229" i="31"/>
  <c r="A1032" i="31"/>
  <c r="A1159" i="31"/>
  <c r="A508" i="31"/>
  <c r="A686" i="31"/>
  <c r="A359" i="31"/>
  <c r="A909" i="31"/>
  <c r="A367" i="31"/>
  <c r="A24" i="31"/>
  <c r="A286" i="31"/>
  <c r="A682" i="31"/>
  <c r="A772" i="31"/>
  <c r="A651" i="31"/>
  <c r="A10" i="31"/>
  <c r="A141" i="31"/>
  <c r="A519" i="31"/>
  <c r="A683" i="31"/>
  <c r="A567" i="31"/>
  <c r="A393" i="31"/>
  <c r="A1088" i="31"/>
  <c r="A762" i="31"/>
  <c r="A287" i="31"/>
  <c r="A849" i="31"/>
  <c r="A836" i="31"/>
  <c r="A696" i="31"/>
  <c r="A878" i="31"/>
  <c r="A947" i="31"/>
  <c r="A518" i="31"/>
  <c r="A855" i="31"/>
  <c r="A1074" i="31"/>
  <c r="A621" i="31"/>
  <c r="A713" i="31"/>
  <c r="A958" i="31"/>
  <c r="A831" i="31"/>
  <c r="A494" i="31"/>
  <c r="A932" i="31"/>
  <c r="A1126" i="31"/>
  <c r="A942" i="31"/>
  <c r="A443" i="31"/>
  <c r="A769" i="31"/>
  <c r="A915" i="31"/>
  <c r="A204" i="31"/>
  <c r="A9" i="31"/>
  <c r="A1189" i="31"/>
  <c r="A1191" i="31"/>
  <c r="A62" i="31"/>
  <c r="A1099" i="31"/>
  <c r="A811" i="31"/>
  <c r="A991" i="31"/>
  <c r="A992" i="31"/>
  <c r="A980" i="31"/>
  <c r="A1154" i="31"/>
  <c r="A979" i="31"/>
  <c r="A236" i="31"/>
  <c r="A134" i="31"/>
  <c r="A71" i="31"/>
  <c r="A523" i="31"/>
  <c r="A585" i="31"/>
  <c r="A581" i="31"/>
  <c r="A117" i="31"/>
  <c r="A1184" i="31"/>
  <c r="A256" i="31"/>
  <c r="A273" i="31"/>
  <c r="A655" i="31"/>
  <c r="A187" i="31"/>
  <c r="A154" i="31"/>
  <c r="A413" i="31"/>
  <c r="A261" i="31"/>
  <c r="A109" i="31"/>
  <c r="A383" i="31"/>
  <c r="A707" i="31"/>
  <c r="A165" i="31"/>
  <c r="A304" i="31"/>
  <c r="A106" i="31"/>
  <c r="A515" i="31"/>
  <c r="A789" i="31"/>
  <c r="A390" i="31"/>
  <c r="A171" i="31"/>
  <c r="A372" i="31"/>
  <c r="A19" i="31"/>
  <c r="A34" i="31"/>
  <c r="A14" i="31"/>
  <c r="A712" i="31"/>
  <c r="A185" i="31"/>
  <c r="A705" i="31"/>
  <c r="A741" i="31"/>
  <c r="A548" i="31"/>
  <c r="A169" i="31"/>
  <c r="A1202" i="31"/>
  <c r="A953" i="31"/>
  <c r="A1057" i="31"/>
  <c r="A283" i="31"/>
  <c r="A903" i="31"/>
  <c r="A402" i="31"/>
  <c r="A392" i="31"/>
  <c r="A1122" i="31"/>
  <c r="A1024" i="31"/>
  <c r="A777" i="31"/>
  <c r="A891" i="31"/>
  <c r="A813" i="31"/>
  <c r="A560" i="31"/>
  <c r="A1206" i="31"/>
  <c r="A1091" i="31"/>
  <c r="A450" i="31"/>
  <c r="A606" i="31"/>
  <c r="A1097" i="31"/>
  <c r="A289" i="31"/>
  <c r="A614" i="31"/>
  <c r="A89" i="31"/>
  <c r="A415" i="31"/>
  <c r="A520" i="31"/>
  <c r="A1073" i="31"/>
  <c r="A876" i="31"/>
  <c r="A865" i="31"/>
  <c r="A1207" i="31"/>
  <c r="A1112" i="31"/>
  <c r="A872" i="31"/>
  <c r="A536" i="31"/>
  <c r="A58" i="31"/>
  <c r="A1208" i="31"/>
  <c r="A211" i="31"/>
  <c r="A244" i="31"/>
  <c r="A1065" i="31"/>
  <c r="A544" i="31"/>
  <c r="A531" i="31"/>
  <c r="A254" i="31"/>
  <c r="A237" i="31"/>
  <c r="A663" i="31"/>
  <c r="A615" i="31"/>
  <c r="A235" i="31"/>
  <c r="A700" i="31"/>
  <c r="A609" i="31"/>
  <c r="A788" i="31"/>
  <c r="A92" i="31"/>
  <c r="A618" i="31"/>
  <c r="A1108" i="31"/>
  <c r="A1042" i="31"/>
  <c r="A692" i="31"/>
  <c r="A649" i="31"/>
  <c r="A189" i="31"/>
  <c r="A296" i="31"/>
  <c r="A227" i="31"/>
  <c r="A198" i="31"/>
  <c r="A116" i="31"/>
  <c r="A111" i="31"/>
  <c r="A565" i="31"/>
  <c r="A973" i="31"/>
  <c r="A266" i="31"/>
  <c r="A962" i="31"/>
  <c r="A537" i="31"/>
  <c r="A400" i="31"/>
  <c r="A136" i="31"/>
  <c r="A138" i="31"/>
  <c r="A313" i="31"/>
  <c r="A183" i="31"/>
  <c r="A587" i="31"/>
  <c r="A834" i="31"/>
  <c r="A210" i="31"/>
  <c r="A645" i="31"/>
  <c r="A631" i="31"/>
  <c r="A814" i="31"/>
  <c r="A202" i="31"/>
  <c r="A46" i="31"/>
  <c r="A140" i="31"/>
  <c r="A27" i="31"/>
  <c r="A284" i="31"/>
  <c r="A902" i="31"/>
  <c r="A49" i="31"/>
  <c r="A310" i="31"/>
  <c r="A1051" i="31"/>
  <c r="A1043" i="31"/>
  <c r="A348" i="31"/>
  <c r="A16" i="31"/>
  <c r="A326" i="31"/>
  <c r="A213" i="31"/>
  <c r="A127" i="31"/>
  <c r="A461" i="31"/>
  <c r="A669" i="31"/>
  <c r="A149" i="31"/>
  <c r="A505" i="31"/>
  <c r="A395" i="31"/>
  <c r="A1169" i="31"/>
  <c r="A1166" i="31"/>
  <c r="A943" i="31"/>
  <c r="A934" i="31"/>
  <c r="A791" i="31"/>
  <c r="A1018" i="31"/>
  <c r="A538" i="31"/>
  <c r="A468" i="31"/>
  <c r="A1204" i="31"/>
  <c r="A771" i="31"/>
  <c r="A1177" i="31"/>
  <c r="A433" i="31"/>
  <c r="A1016" i="31"/>
  <c r="A341" i="31"/>
  <c r="A1221" i="31"/>
  <c r="A875" i="31"/>
  <c r="A972" i="31"/>
  <c r="A593" i="31"/>
  <c r="A993" i="31"/>
  <c r="A401" i="31"/>
  <c r="A1103" i="31"/>
  <c r="A782" i="31"/>
  <c r="A612" i="31"/>
  <c r="A65" i="31"/>
  <c r="A463" i="31"/>
  <c r="A483" i="31"/>
  <c r="A921" i="31"/>
  <c r="A738" i="31"/>
  <c r="A328" i="31"/>
  <c r="A701" i="31"/>
  <c r="A425" i="31"/>
  <c r="A994" i="31"/>
  <c r="A418" i="31"/>
  <c r="A160" i="31"/>
  <c r="A624" i="31"/>
  <c r="A253" i="31"/>
  <c r="A555" i="31"/>
  <c r="A158" i="31"/>
  <c r="A522" i="31"/>
  <c r="A970" i="31"/>
  <c r="A956" i="31"/>
  <c r="A596" i="31"/>
  <c r="A589" i="31"/>
  <c r="A61" i="31"/>
  <c r="A103" i="31"/>
  <c r="A104" i="31"/>
  <c r="A22" i="31"/>
  <c r="A180" i="31"/>
  <c r="A208" i="31"/>
  <c r="A736" i="31"/>
  <c r="A37" i="31"/>
  <c r="A340" i="31"/>
  <c r="A322" i="31"/>
  <c r="A730" i="31"/>
  <c r="A476" i="31"/>
  <c r="A399" i="31"/>
  <c r="A68" i="31"/>
  <c r="A527" i="31"/>
  <c r="A248" i="31"/>
  <c r="A758" i="31"/>
  <c r="A13" i="31"/>
  <c r="A274" i="31"/>
  <c r="A826" i="31"/>
  <c r="A822" i="31"/>
  <c r="A1136" i="31"/>
  <c r="A219" i="31"/>
  <c r="A178" i="31"/>
  <c r="A416" i="31"/>
  <c r="A91" i="31"/>
  <c r="A385" i="31"/>
  <c r="A573" i="31"/>
  <c r="A113" i="31"/>
  <c r="A432" i="31"/>
  <c r="A269" i="31"/>
  <c r="A625" i="31"/>
  <c r="A421" i="31"/>
  <c r="A152" i="31"/>
  <c r="A170" i="31"/>
  <c r="A330" i="31"/>
  <c r="A191" i="31"/>
  <c r="A607" i="31"/>
  <c r="A1193" i="31"/>
  <c r="A438" i="31"/>
  <c r="A514" i="31"/>
  <c r="A616" i="31"/>
  <c r="A694" i="31"/>
  <c r="A981" i="31"/>
  <c r="A442" i="31"/>
  <c r="A641" i="31"/>
  <c r="A1085" i="31"/>
  <c r="A706" i="31"/>
  <c r="A1028" i="31"/>
  <c r="A1220" i="31"/>
  <c r="A1211" i="31"/>
  <c r="A1124" i="31"/>
  <c r="A1157" i="31"/>
  <c r="A630" i="31"/>
  <c r="A825" i="31"/>
  <c r="A806" i="31"/>
  <c r="A940" i="31"/>
  <c r="A147" i="31"/>
  <c r="A889" i="31"/>
  <c r="A217" i="31"/>
  <c r="A572" i="31"/>
  <c r="A952" i="31"/>
  <c r="A1120" i="31"/>
  <c r="A475" i="31"/>
  <c r="A837" i="31"/>
  <c r="A545" i="31"/>
  <c r="A179" i="31"/>
  <c r="A703" i="31"/>
  <c r="A94" i="31"/>
  <c r="A677" i="31"/>
  <c r="A195" i="31"/>
  <c r="A342" i="31"/>
  <c r="A588" i="31"/>
  <c r="A613" i="31"/>
  <c r="A369" i="31"/>
  <c r="A499" i="31"/>
  <c r="A458" i="31"/>
  <c r="A928" i="31"/>
  <c r="A917" i="31"/>
  <c r="A532" i="31"/>
  <c r="A297" i="31"/>
  <c r="A1176" i="31"/>
  <c r="A471" i="31"/>
  <c r="A299" i="31"/>
  <c r="A86" i="31"/>
  <c r="A301" i="31"/>
  <c r="A240" i="31"/>
  <c r="A838" i="31"/>
  <c r="A69" i="31"/>
  <c r="A473" i="31"/>
  <c r="A479" i="31"/>
  <c r="A794" i="31"/>
  <c r="A344" i="31"/>
  <c r="A38" i="31"/>
  <c r="A132" i="31"/>
  <c r="A23" i="31"/>
  <c r="A280" i="31"/>
  <c r="A882" i="31"/>
  <c r="A45" i="31"/>
  <c r="A306" i="31"/>
  <c r="A1022" i="31"/>
  <c r="A1017" i="31"/>
  <c r="A343" i="31"/>
  <c r="A8" i="31"/>
  <c r="A307" i="31"/>
  <c r="A205" i="31"/>
  <c r="A123" i="31"/>
  <c r="A453" i="31"/>
  <c r="A659" i="31"/>
  <c r="A145" i="31"/>
  <c r="A497" i="31"/>
  <c r="A371" i="31"/>
  <c r="A689" i="31"/>
  <c r="A456" i="31"/>
  <c r="A263" i="31"/>
  <c r="A1187" i="31"/>
  <c r="A1118" i="31"/>
  <c r="A1175" i="31"/>
  <c r="A321" i="31"/>
  <c r="A1123" i="31"/>
  <c r="A598" i="31"/>
  <c r="A844" i="31"/>
  <c r="A944" i="31"/>
  <c r="A67" i="31"/>
  <c r="A717" i="31"/>
  <c r="A590" i="31"/>
  <c r="A959" i="31"/>
  <c r="A965" i="31"/>
  <c r="A996" i="31"/>
  <c r="A988" i="31"/>
  <c r="A1093" i="31"/>
  <c r="A594" i="31"/>
  <c r="A668" i="31"/>
  <c r="A137" i="31"/>
  <c r="A604" i="31"/>
  <c r="A305" i="31"/>
  <c r="A833" i="31"/>
  <c r="A529" i="31"/>
  <c r="A472" i="31"/>
  <c r="A501" i="31"/>
  <c r="A591" i="31"/>
  <c r="A182" i="31"/>
  <c r="A753" i="31"/>
  <c r="A685" i="31"/>
  <c r="A156" i="31"/>
  <c r="A485" i="31"/>
  <c r="A40" i="31"/>
  <c r="A302" i="31"/>
  <c r="A107" i="31"/>
  <c r="A1230" i="31"/>
  <c r="A516" i="31"/>
  <c r="A414" i="31"/>
  <c r="A260" i="31"/>
  <c r="A162" i="31"/>
  <c r="A424" i="31"/>
  <c r="A896" i="31"/>
  <c r="A853" i="31"/>
  <c r="A500" i="31"/>
  <c r="A1160" i="31"/>
  <c r="A605" i="31"/>
  <c r="A285" i="31"/>
  <c r="A417" i="31"/>
  <c r="A259" i="31"/>
  <c r="A387" i="31"/>
  <c r="A272" i="31"/>
  <c r="A1038" i="31"/>
  <c r="A133" i="31"/>
  <c r="A539" i="31"/>
  <c r="A611" i="31"/>
  <c r="A910" i="31"/>
  <c r="A50" i="31"/>
  <c r="A102" i="31"/>
  <c r="A223" i="31"/>
  <c r="A55" i="31"/>
  <c r="A312" i="31"/>
  <c r="A1096" i="31"/>
  <c r="A77" i="31"/>
  <c r="A357" i="31"/>
  <c r="A192" i="31"/>
  <c r="A553" i="31"/>
  <c r="A376" i="31"/>
  <c r="A80" i="31"/>
  <c r="A26" i="31"/>
  <c r="A265" i="31"/>
  <c r="A155" i="31"/>
  <c r="A517" i="31"/>
  <c r="A744" i="31"/>
  <c r="A177" i="31"/>
  <c r="A571" i="31"/>
  <c r="A535" i="31"/>
  <c r="A754" i="31"/>
  <c r="A488" i="31"/>
  <c r="A467" i="31"/>
  <c r="A84" i="31"/>
  <c r="A143" i="31"/>
  <c r="A245" i="31"/>
  <c r="A459" i="31"/>
  <c r="A48" i="31"/>
  <c r="A70" i="31"/>
  <c r="A39" i="31"/>
  <c r="A978" i="31"/>
  <c r="A324" i="31"/>
  <c r="A1152" i="31"/>
  <c r="A564" i="31"/>
  <c r="A821" i="31"/>
  <c r="A1151" i="31"/>
  <c r="A1059" i="31"/>
  <c r="A490" i="31"/>
  <c r="A751" i="31"/>
  <c r="A293" i="31"/>
  <c r="A551" i="31"/>
  <c r="A890" i="31"/>
  <c r="A464" i="31"/>
  <c r="A773" i="31"/>
  <c r="A243" i="31"/>
  <c r="A276" i="31"/>
  <c r="A222" i="31"/>
  <c r="A657" i="31"/>
  <c r="A207" i="31"/>
  <c r="A1067" i="31"/>
  <c r="A491" i="31"/>
  <c r="A121" i="31"/>
  <c r="A504" i="31"/>
  <c r="A877" i="31"/>
  <c r="A98" i="31"/>
  <c r="A818" i="31"/>
  <c r="A215" i="31"/>
  <c r="A766" i="31"/>
  <c r="A926" i="31"/>
  <c r="A300" i="31"/>
  <c r="A448" i="31"/>
  <c r="A929" i="31"/>
  <c r="A997" i="31"/>
  <c r="A33" i="31"/>
  <c r="A652" i="31"/>
  <c r="A916" i="31"/>
  <c r="A512" i="31"/>
  <c r="A804" i="31"/>
  <c r="A986" i="31"/>
  <c r="A702" i="31"/>
  <c r="A971" i="31"/>
  <c r="A403" i="31"/>
  <c r="A1167" i="31"/>
  <c r="A674" i="31"/>
  <c r="A1050" i="31"/>
  <c r="A1095" i="31"/>
  <c r="A690" i="31"/>
  <c r="A1062" i="31"/>
  <c r="A805" i="31"/>
  <c r="A1063" i="31"/>
  <c r="A708" i="31"/>
  <c r="A835" i="31"/>
  <c r="A1005" i="31"/>
  <c r="A153" i="31"/>
  <c r="A1219" i="31"/>
  <c r="A1140" i="31"/>
  <c r="A420" i="31"/>
  <c r="A1102" i="31"/>
  <c r="A975" i="31"/>
  <c r="A859" i="31"/>
  <c r="A1182" i="31"/>
  <c r="A362" i="31"/>
  <c r="A1019" i="31"/>
  <c r="A1139" i="31"/>
  <c r="A967" i="31"/>
  <c r="A982" i="31"/>
  <c r="A1048" i="31"/>
  <c r="A270" i="31"/>
  <c r="A749" i="31"/>
  <c r="A126" i="31"/>
  <c r="A568" i="31"/>
  <c r="A1011" i="31"/>
  <c r="A1100" i="31"/>
  <c r="A779" i="31"/>
  <c r="A1040" i="31"/>
  <c r="A353" i="31"/>
  <c r="A888" i="31"/>
  <c r="A710" i="31"/>
  <c r="A96" i="31"/>
  <c r="A852" i="31"/>
  <c r="A731" i="31"/>
  <c r="A1094" i="31"/>
  <c r="A884" i="31"/>
  <c r="A987" i="31"/>
  <c r="A829" i="31"/>
  <c r="A1079" i="31"/>
  <c r="A848" i="31"/>
  <c r="A673" i="31"/>
  <c r="A983" i="31"/>
  <c r="A658" i="31"/>
  <c r="A905" i="31"/>
  <c r="A1174" i="31"/>
  <c r="A1213" i="31"/>
  <c r="A1229" i="31"/>
  <c r="A1141" i="31"/>
  <c r="A642" i="31"/>
  <c r="A1036" i="31"/>
  <c r="A911" i="31"/>
  <c r="A462" i="31"/>
  <c r="A601" i="31"/>
  <c r="A241" i="31"/>
  <c r="A405" i="31"/>
  <c r="A101" i="31"/>
  <c r="A541" i="31"/>
  <c r="A361" i="31"/>
  <c r="A79" i="31"/>
  <c r="A319" i="31"/>
  <c r="A150" i="31"/>
  <c r="A146" i="31"/>
  <c r="A74" i="31"/>
  <c r="A167" i="31"/>
  <c r="A776" i="31"/>
  <c r="A603" i="31"/>
  <c r="A778" i="31"/>
  <c r="A628" i="31"/>
  <c r="A885" i="31"/>
  <c r="A832" i="31"/>
  <c r="A1172" i="31"/>
  <c r="A554" i="31"/>
  <c r="A112" i="31"/>
  <c r="A83" i="31"/>
  <c r="A25" i="31"/>
  <c r="A599" i="31"/>
  <c r="A552" i="31"/>
  <c r="A845" i="31"/>
  <c r="A124" i="31"/>
  <c r="A619" i="31"/>
  <c r="A465" i="31"/>
  <c r="A323" i="31"/>
  <c r="A455" i="31"/>
  <c r="A1128" i="31"/>
  <c r="A43" i="31"/>
  <c r="A764" i="31"/>
  <c r="A584" i="31"/>
  <c r="A966" i="31"/>
  <c r="A142" i="31"/>
  <c r="A57" i="31"/>
  <c r="A44" i="31"/>
  <c r="A381" i="31"/>
  <c r="A528" i="31"/>
  <c r="A1216" i="31"/>
  <c r="A592" i="31"/>
  <c r="A1037" i="31"/>
  <c r="A1003" i="31"/>
  <c r="A699" i="31"/>
  <c r="A897" i="31"/>
  <c r="A11" i="31"/>
  <c r="A676" i="31"/>
  <c r="A496" i="31"/>
  <c r="A1180" i="31"/>
  <c r="A843" i="31"/>
  <c r="A1106" i="31"/>
  <c r="A577" i="31"/>
  <c r="A1002" i="31"/>
  <c r="A851" i="31"/>
  <c r="A99" i="31"/>
  <c r="A904" i="31"/>
  <c r="A767" i="31"/>
  <c r="A1222" i="31"/>
  <c r="A1164" i="31"/>
  <c r="A1045" i="31"/>
  <c r="A900" i="31"/>
  <c r="A951" i="31"/>
  <c r="A933" i="31"/>
  <c r="A600" i="31"/>
  <c r="A1101" i="31"/>
  <c r="A919" i="31"/>
  <c r="A1111" i="31"/>
  <c r="A271" i="31"/>
  <c r="A936" i="31"/>
  <c r="A1054" i="31"/>
  <c r="A726" i="31"/>
  <c r="A1165" i="31"/>
  <c r="A419" i="31"/>
  <c r="A1226" i="31"/>
  <c r="A1010" i="31"/>
  <c r="B438" i="31" l="1"/>
  <c r="R32" i="7"/>
  <c r="B1045" i="31" s="1"/>
  <c r="K99" i="16"/>
  <c r="B201" i="31" s="1"/>
  <c r="O99" i="16"/>
  <c r="B202" i="31" s="1"/>
  <c r="B41" i="31"/>
  <c r="Q99" i="16"/>
  <c r="C202" i="31" s="1"/>
  <c r="I56" i="17"/>
  <c r="C407" i="31" s="1"/>
  <c r="A622" i="31"/>
  <c r="A1030" i="31"/>
  <c r="A105" i="31"/>
  <c r="A746" i="31"/>
  <c r="A373" i="31"/>
  <c r="A960" i="31"/>
  <c r="A1155" i="31"/>
  <c r="A1212" i="31"/>
  <c r="A785" i="31"/>
  <c r="A1104" i="31"/>
  <c r="A892" i="31"/>
  <c r="A816" i="31"/>
  <c r="A175" i="31"/>
  <c r="A345" i="31"/>
  <c r="A524" i="31"/>
  <c r="A895" i="31"/>
  <c r="A407" i="31"/>
  <c r="A799" i="31"/>
  <c r="A586" i="31"/>
  <c r="A225" i="31"/>
  <c r="A819" i="31"/>
  <c r="A454" i="31"/>
  <c r="A218" i="31"/>
  <c r="A480" i="31"/>
  <c r="A295" i="31"/>
  <c r="A135" i="31"/>
  <c r="A530" i="31"/>
  <c r="A397" i="31"/>
  <c r="A422" i="31"/>
  <c r="A379" i="31"/>
  <c r="A1107" i="31"/>
  <c r="A364" i="31"/>
  <c r="A412" i="31"/>
  <c r="A255" i="31"/>
  <c r="A228" i="31"/>
  <c r="A634" i="31"/>
  <c r="A174" i="31"/>
  <c r="A163" i="31"/>
  <c r="A224" i="31"/>
  <c r="A15" i="31"/>
  <c r="A939" i="31"/>
  <c r="A247" i="31"/>
  <c r="A858" i="31"/>
  <c r="A1060" i="31"/>
  <c r="A268" i="31"/>
  <c r="A410" i="31"/>
  <c r="A452" i="31"/>
  <c r="A250" i="31"/>
  <c r="A729" i="31"/>
  <c r="A995" i="31"/>
  <c r="A279" i="31"/>
  <c r="A374" i="31"/>
  <c r="A1135" i="31"/>
  <c r="A78" i="31"/>
  <c r="A714" i="31"/>
  <c r="A1027" i="31"/>
  <c r="A320" i="31"/>
  <c r="A294" i="31"/>
  <c r="A716" i="31"/>
  <c r="A30" i="31"/>
  <c r="A335" i="31"/>
  <c r="A561" i="31"/>
  <c r="A477" i="31"/>
  <c r="A637" i="31"/>
  <c r="A1021" i="31"/>
  <c r="A533" i="31"/>
  <c r="A949" i="31"/>
  <c r="A792" i="31"/>
  <c r="A718" i="31"/>
  <c r="A29" i="31"/>
  <c r="A1214" i="31"/>
  <c r="A795" i="31"/>
  <c r="A1148" i="31"/>
  <c r="A73" i="31"/>
  <c r="A1114" i="31"/>
  <c r="A506" i="31"/>
  <c r="A688" i="31"/>
  <c r="A780" i="31"/>
  <c r="A275" i="31"/>
  <c r="A787" i="31"/>
  <c r="A1129" i="31"/>
  <c r="A808" i="31"/>
  <c r="A350" i="31"/>
  <c r="A110" i="31"/>
  <c r="A354" i="31"/>
  <c r="A803" i="31"/>
  <c r="A1199" i="31"/>
  <c r="A404" i="31"/>
  <c r="A333" i="31"/>
  <c r="A365" i="31"/>
  <c r="A817" i="31"/>
  <c r="A292" i="31"/>
  <c r="A737" i="31"/>
  <c r="A181" i="31"/>
  <c r="A97" i="31"/>
  <c r="A257" i="31"/>
  <c r="A636" i="31"/>
  <c r="A691" i="31"/>
  <c r="A368" i="31"/>
  <c r="A366" i="31"/>
  <c r="A937" i="31"/>
  <c r="A1133" i="31"/>
  <c r="A93" i="31"/>
  <c r="A559" i="31"/>
  <c r="A308" i="31"/>
  <c r="A53" i="31"/>
  <c r="A197" i="31"/>
  <c r="A880" i="31"/>
  <c r="A470" i="31"/>
  <c r="A770" i="31"/>
  <c r="A166" i="31"/>
  <c r="A251" i="31"/>
  <c r="A800" i="31"/>
  <c r="A510" i="31"/>
  <c r="A578" i="31"/>
  <c r="A486" i="31"/>
  <c r="A620" i="31"/>
  <c r="A899" i="31"/>
  <c r="A639" i="31"/>
  <c r="A493" i="31"/>
  <c r="A597" i="31"/>
  <c r="A492" i="31"/>
  <c r="A108" i="31"/>
  <c r="A511" i="31"/>
  <c r="A164" i="31"/>
  <c r="A66" i="31"/>
  <c r="A314" i="31"/>
  <c r="A576" i="31"/>
  <c r="A786" i="31"/>
  <c r="A797" i="31"/>
  <c r="A1066" i="31"/>
  <c r="A1209" i="31"/>
  <c r="A562" i="31"/>
  <c r="A720" i="31"/>
  <c r="A469" i="31"/>
  <c r="A957" i="31"/>
  <c r="A95" i="31"/>
  <c r="A918" i="31"/>
  <c r="A963" i="31"/>
  <c r="A318" i="31"/>
  <c r="A1146" i="31"/>
  <c r="A1217" i="31"/>
  <c r="A763" i="31"/>
  <c r="A1025" i="31"/>
  <c r="A632" i="31"/>
  <c r="A752" i="31"/>
  <c r="A1006" i="31"/>
  <c r="A723" i="31"/>
  <c r="A1109" i="31"/>
  <c r="A338" i="31"/>
  <c r="A406" i="31"/>
  <c r="A20" i="31"/>
  <c r="A784" i="31"/>
  <c r="A1031" i="31"/>
  <c r="A1218" i="31"/>
  <c r="A867" i="31"/>
  <c r="A930" i="31"/>
  <c r="A148" i="31"/>
  <c r="A920" i="31"/>
  <c r="A1105" i="31"/>
  <c r="A1014" i="31"/>
  <c r="A569" i="31"/>
  <c r="A1117" i="31"/>
  <c r="A968" i="31"/>
  <c r="A626" i="31"/>
  <c r="A675" i="31"/>
  <c r="A627" i="31"/>
  <c r="A860" i="31"/>
  <c r="A931" i="31"/>
  <c r="A1041" i="31"/>
  <c r="A384" i="31"/>
  <c r="A509" i="31"/>
  <c r="A868" i="31"/>
  <c r="A159" i="31"/>
  <c r="A503" i="31"/>
  <c r="A841" i="31"/>
  <c r="A1143" i="31"/>
  <c r="A90" i="31"/>
  <c r="A119" i="31"/>
  <c r="A451" i="31"/>
  <c r="A363" i="31"/>
  <c r="A646" i="31"/>
  <c r="A913" i="31"/>
  <c r="A1084" i="31"/>
  <c r="A209" i="31"/>
  <c r="A1181" i="31"/>
  <c r="A802" i="31"/>
  <c r="A298" i="31"/>
  <c r="A246" i="31"/>
  <c r="A290" i="31"/>
  <c r="A893" i="31"/>
  <c r="A1015" i="31"/>
  <c r="A52" i="31"/>
  <c r="A317" i="31"/>
  <c r="A277" i="31"/>
  <c r="A862" i="31"/>
  <c r="A1210" i="31"/>
  <c r="A961" i="31"/>
  <c r="A429" i="31"/>
  <c r="A783" i="31"/>
  <c r="A398" i="31"/>
  <c r="A1192" i="31"/>
  <c r="A389" i="31"/>
  <c r="A54" i="31"/>
  <c r="A377" i="31"/>
  <c r="A774" i="31"/>
  <c r="A610" i="31"/>
  <c r="A129" i="31"/>
  <c r="A563" i="31"/>
  <c r="A693" i="31"/>
  <c r="A168" i="31"/>
  <c r="A1026" i="31"/>
  <c r="A1173" i="31"/>
  <c r="A315" i="31"/>
  <c r="A466" i="31"/>
  <c r="A440" i="31"/>
  <c r="A1008" i="31"/>
  <c r="A258" i="31"/>
  <c r="A264" i="31"/>
  <c r="A745" i="31"/>
  <c r="A580" i="31"/>
  <c r="A349" i="31"/>
  <c r="A1020" i="31"/>
  <c r="A898" i="31"/>
  <c r="A866" i="31"/>
  <c r="A1012" i="31"/>
  <c r="A411" i="31"/>
  <c r="A547" i="31"/>
  <c r="A1001" i="31"/>
  <c r="A809" i="31"/>
  <c r="A914" i="31"/>
  <c r="A534" i="31"/>
  <c r="A747" i="31"/>
  <c r="A196" i="31"/>
  <c r="A912" i="31"/>
  <c r="A760" i="31"/>
  <c r="A640" i="31"/>
  <c r="A660" i="31"/>
  <c r="A583" i="31"/>
  <c r="A325" i="31"/>
  <c r="A1098" i="31"/>
  <c r="A206" i="31"/>
  <c r="A35" i="31"/>
  <c r="A85" i="31"/>
  <c r="A709" i="31"/>
  <c r="A1055" i="31"/>
  <c r="A850" i="31"/>
  <c r="A790" i="31"/>
  <c r="A948" i="31"/>
  <c r="A331" i="31"/>
  <c r="A360" i="31"/>
  <c r="A732" i="31"/>
  <c r="A756" i="31"/>
  <c r="A1170" i="31"/>
  <c r="A212" i="31"/>
  <c r="A487" i="31"/>
  <c r="A856" i="31"/>
  <c r="A1070" i="31"/>
  <c r="A608" i="31"/>
  <c r="A886" i="31"/>
  <c r="A291" i="31"/>
  <c r="A439" i="31"/>
  <c r="A114" i="31"/>
  <c r="A823" i="31"/>
  <c r="A984" i="31"/>
  <c r="A623" i="31"/>
  <c r="A278" i="31"/>
  <c r="A906" i="31"/>
  <c r="A1142" i="31"/>
  <c r="A990" i="31"/>
  <c r="A977" i="31"/>
  <c r="A1039" i="31"/>
  <c r="A678" i="31"/>
  <c r="A840" i="31"/>
  <c r="A964" i="31"/>
  <c r="A653" i="31"/>
  <c r="A854" i="31"/>
  <c r="A186" i="31"/>
  <c r="M99" i="16"/>
  <c r="C201" i="31" s="1"/>
  <c r="C42" i="31"/>
  <c r="P32" i="7"/>
  <c r="R102" i="12"/>
  <c r="C718" i="31" s="1"/>
  <c r="I99" i="16"/>
  <c r="C200" i="31" s="1"/>
  <c r="A60" i="31"/>
  <c r="A1119" i="31"/>
  <c r="A839" i="31"/>
  <c r="A242" i="31"/>
  <c r="A1013" i="31"/>
  <c r="A1162" i="31"/>
  <c r="A1056" i="31"/>
  <c r="A1121" i="31"/>
  <c r="A1194" i="31"/>
  <c r="A199" i="31"/>
  <c r="A711" i="31"/>
  <c r="A617" i="31"/>
  <c r="A1196" i="31"/>
  <c r="A1132" i="31"/>
  <c r="A449" i="31"/>
  <c r="A1147" i="31"/>
  <c r="A396" i="31"/>
  <c r="A444" i="31"/>
  <c r="A337" i="31"/>
  <c r="A950" i="31"/>
  <c r="A579" i="31"/>
  <c r="A974" i="31"/>
  <c r="A743" i="31"/>
  <c r="A698" i="31"/>
  <c r="A1137" i="31"/>
  <c r="A969" i="31"/>
  <c r="A1200" i="31"/>
  <c r="A1168" i="31"/>
  <c r="A190" i="31"/>
  <c r="A1183" i="31"/>
  <c r="A830" i="31"/>
  <c r="A846" i="31"/>
  <c r="A727" i="31"/>
  <c r="A883" i="31"/>
  <c r="A722" i="31"/>
  <c r="A1195" i="31"/>
  <c r="A1053" i="31"/>
  <c r="A775" i="31"/>
  <c r="A1047" i="31"/>
  <c r="A861" i="31"/>
  <c r="A226" i="31"/>
  <c r="A118" i="31"/>
  <c r="A216" i="31"/>
  <c r="A1087" i="31"/>
  <c r="A748" i="31"/>
  <c r="A1081" i="31"/>
  <c r="A629" i="31"/>
  <c r="A88" i="31"/>
  <c r="A151" i="31"/>
  <c r="A1215" i="31"/>
  <c r="A230" i="31"/>
  <c r="A847" i="31"/>
  <c r="A1125" i="31"/>
  <c r="A1158" i="31"/>
  <c r="A595" i="31"/>
  <c r="A1138" i="31"/>
  <c r="A1069" i="31"/>
  <c r="A1083" i="31"/>
  <c r="A316" i="31"/>
  <c r="A234" i="31"/>
  <c r="A347" i="31"/>
  <c r="A684" i="31"/>
  <c r="A680" i="31"/>
  <c r="A998" i="31"/>
  <c r="A252" i="31"/>
  <c r="A540" i="31"/>
  <c r="A757" i="31"/>
  <c r="A768" i="31"/>
  <c r="A7" i="31"/>
  <c r="A1068" i="31"/>
  <c r="A879" i="31"/>
  <c r="A869" i="31"/>
  <c r="A664" i="31"/>
  <c r="A643" i="31"/>
  <c r="A739" i="31"/>
  <c r="A807" i="31"/>
  <c r="A725" i="31"/>
  <c r="A184" i="31"/>
  <c r="A687" i="31"/>
  <c r="A5" i="31"/>
  <c r="A938" i="31"/>
  <c r="A1009" i="31"/>
  <c r="A1223" i="31"/>
  <c r="A21" i="31"/>
  <c r="A358" i="31"/>
  <c r="A172" i="31"/>
  <c r="A1228" i="31"/>
  <c r="A431" i="31"/>
  <c r="A781" i="31"/>
  <c r="A721" i="31"/>
  <c r="A1185" i="31"/>
  <c r="A81" i="31"/>
  <c r="A327" i="31"/>
  <c r="A661" i="31"/>
  <c r="A157" i="31"/>
  <c r="A1171" i="31"/>
  <c r="A871" i="31"/>
  <c r="A388" i="31"/>
  <c r="A1149" i="31"/>
  <c r="A82" i="31"/>
  <c r="A41" i="31"/>
  <c r="A370" i="31"/>
  <c r="A1115" i="31"/>
  <c r="A945" i="31"/>
  <c r="A1086" i="31"/>
  <c r="A924" i="31"/>
  <c r="A873" i="31"/>
  <c r="A339" i="31"/>
  <c r="A478" i="31"/>
  <c r="A391" i="31"/>
  <c r="A441" i="31"/>
  <c r="A1061" i="31"/>
  <c r="A47" i="31"/>
  <c r="A672" i="31"/>
</calcChain>
</file>

<file path=xl/sharedStrings.xml><?xml version="1.0" encoding="utf-8"?>
<sst xmlns="http://schemas.openxmlformats.org/spreadsheetml/2006/main" count="1488" uniqueCount="838">
  <si>
    <t>CENTRAL BANK OF TRINIDAD AND TOBAGO</t>
  </si>
  <si>
    <t>DAY:</t>
  </si>
  <si>
    <t>MONTH:</t>
  </si>
  <si>
    <t>YEAR:</t>
  </si>
  <si>
    <t xml:space="preserve">OUTSTANDING </t>
  </si>
  <si>
    <t>A.</t>
  </si>
  <si>
    <t>SECTOR AND SIZE</t>
  </si>
  <si>
    <t>BALANCE AS OF</t>
  </si>
  <si>
    <t>DURING</t>
  </si>
  <si>
    <t>BALANCE AS AT</t>
  </si>
  <si>
    <t>PRIOR QUARTER</t>
  </si>
  <si>
    <t>QUARTER</t>
  </si>
  <si>
    <t>QUARTER END</t>
  </si>
  <si>
    <t>NO.</t>
  </si>
  <si>
    <t>VALUE</t>
  </si>
  <si>
    <t>( $000 )</t>
  </si>
  <si>
    <t>1 .</t>
  </si>
  <si>
    <t>PUBLIC SECTOR</t>
  </si>
  <si>
    <t>2 .</t>
  </si>
  <si>
    <t>PRIVATE FINANCIAL</t>
  </si>
  <si>
    <t>3 .</t>
  </si>
  <si>
    <t xml:space="preserve">INCORPORATED </t>
  </si>
  <si>
    <t>4 .</t>
  </si>
  <si>
    <t xml:space="preserve">UNINCORPORATED </t>
  </si>
  <si>
    <t xml:space="preserve">5 . </t>
  </si>
  <si>
    <t>CONSUMERS</t>
  </si>
  <si>
    <t xml:space="preserve"> </t>
  </si>
  <si>
    <t>T O T A L</t>
  </si>
  <si>
    <t>HIGHEST</t>
  </si>
  <si>
    <t>LOWEST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</si>
  <si>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</si>
  <si>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</si>
  <si>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</si>
  <si>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</si>
  <si>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</si>
  <si>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</si>
  <si>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DATE</t>
  </si>
  <si>
    <t>(Place Company Stamp)</t>
  </si>
  <si>
    <t>AGREED PERIOD OF</t>
  </si>
  <si>
    <t>TOTAL VALUE OF</t>
  </si>
  <si>
    <t>REPAYMENT</t>
  </si>
  <si>
    <t>( # )</t>
  </si>
  <si>
    <t>Over 25 year to 30 years</t>
  </si>
  <si>
    <t>Over 30 years</t>
  </si>
  <si>
    <t>Unspecified</t>
  </si>
  <si>
    <t>B.</t>
  </si>
  <si>
    <t>PURPOSE</t>
  </si>
  <si>
    <t>ACQUISITION OF NEWLY</t>
  </si>
  <si>
    <t>CONSTRUCTED HOUSES</t>
  </si>
  <si>
    <t>PURCHASE OF EXISTING</t>
  </si>
  <si>
    <t>HOUSES</t>
  </si>
  <si>
    <t>PURCHASE OF LAND</t>
  </si>
  <si>
    <t>NO. OF LOAN APPLICATIONS RECEIVED DURING THE QUARTER</t>
  </si>
  <si>
    <t>B.  PURPOSE</t>
  </si>
  <si>
    <t>15.1% and Over</t>
  </si>
  <si>
    <t>FRMs</t>
  </si>
  <si>
    <t>ARMs</t>
  </si>
  <si>
    <t>VRMs</t>
  </si>
  <si>
    <t>VALUE OF</t>
  </si>
  <si>
    <t xml:space="preserve"> VALUE OF</t>
  </si>
  <si>
    <t>NEW MORTGAGES</t>
  </si>
  <si>
    <t>FIXED RATE</t>
  </si>
  <si>
    <t xml:space="preserve">VARIABLE RATE </t>
  </si>
  <si>
    <t>ADJUSTABLE RATE</t>
  </si>
  <si>
    <t>SECTOR AND TYPE</t>
  </si>
  <si>
    <t xml:space="preserve">QUARTER </t>
  </si>
  <si>
    <t>MARGIN</t>
  </si>
  <si>
    <t>INTEREST</t>
  </si>
  <si>
    <t>APPLIED</t>
  </si>
  <si>
    <t xml:space="preserve">FIXED RATE. </t>
  </si>
  <si>
    <t>C.B. 30A/-4-</t>
  </si>
  <si>
    <t>C.B. 30A/-7-</t>
  </si>
  <si>
    <t>C.  SECTOR AND TYPE</t>
  </si>
  <si>
    <t>D. BY AGREED PERIOD OF REPAYMENT AND TYPE</t>
  </si>
  <si>
    <t>C.</t>
  </si>
  <si>
    <t>LAND ONLY</t>
  </si>
  <si>
    <t>LAND AND HOUSE</t>
  </si>
  <si>
    <t>LAND AND BUILDING</t>
  </si>
  <si>
    <t>D.</t>
  </si>
  <si>
    <t>FIXED RATE MORTGAGES</t>
  </si>
  <si>
    <t>ADJUSTABLE RATE MORTGAGES</t>
  </si>
  <si>
    <t xml:space="preserve">VARIABLE RATE. </t>
  </si>
  <si>
    <t>ADJUSTABLE RATE.</t>
  </si>
  <si>
    <t>TOTAL FUNDS UNDER ADMINISTRATION</t>
  </si>
  <si>
    <t>( $ 000 )</t>
  </si>
  <si>
    <t xml:space="preserve">REAL ESTATE MORTGAGE LOANS </t>
  </si>
  <si>
    <t>- TOTAL</t>
  </si>
  <si>
    <t>....................................................................................</t>
  </si>
  <si>
    <t>Name of Authorised Official</t>
  </si>
  <si>
    <t>Signature of Authorised Official</t>
  </si>
  <si>
    <t>( BLOCK LETTERS )</t>
  </si>
  <si>
    <t>Position or Office held/</t>
  </si>
  <si>
    <t>Date</t>
  </si>
  <si>
    <t>Company Stamp</t>
  </si>
  <si>
    <t>TOTAL INVESTMENT IN REAL ESTATE MORTGAGES</t>
  </si>
  <si>
    <t>END OF PRIOR QUARTER</t>
  </si>
  <si>
    <t>MEMO :</t>
  </si>
  <si>
    <t>LOANS RESCHEDULED</t>
  </si>
  <si>
    <t>( REFERS TO ITEMS 1 - 3,</t>
  </si>
  <si>
    <t>ABOVE )</t>
  </si>
  <si>
    <t>RESIDENTIAL</t>
  </si>
  <si>
    <t>NON - RESIDENTIAL</t>
  </si>
  <si>
    <t>TRUSTEE FUNDS - INVESTMENT PORTFOLIO FOR REAL ESTATE MORTGAGES</t>
  </si>
  <si>
    <t>OUTSTANDING</t>
  </si>
  <si>
    <t>IMPROVEMENT</t>
  </si>
  <si>
    <t>Up to 5 years</t>
  </si>
  <si>
    <t>Over 5 years to 10 years</t>
  </si>
  <si>
    <t>Over 15 years to 20 years</t>
  </si>
  <si>
    <t>Over 20 years to 25 years</t>
  </si>
  <si>
    <t>Under $450,000</t>
  </si>
  <si>
    <t>DISBURSED</t>
  </si>
  <si>
    <t>APPROVED</t>
  </si>
  <si>
    <t>REAL ESTATE MORTGAGES - QUARTERLY</t>
  </si>
  <si>
    <t xml:space="preserve"> NEW REAL ESTATE MORTGAGES </t>
  </si>
  <si>
    <t>NUMBER OF DISCLOSURE STATEMENTS DISTRIBUTED</t>
  </si>
  <si>
    <t>VARIABLE RATE MORTGAGES</t>
  </si>
  <si>
    <t>Over $3,000,001</t>
  </si>
  <si>
    <t>3.0% and Under</t>
  </si>
  <si>
    <t>DISBURSED/GRANTED</t>
  </si>
  <si>
    <t>COMMERCIAL</t>
  </si>
  <si>
    <t>RESIDENTIAL MORTGAGES</t>
  </si>
  <si>
    <t>TOTAL GRANTED/DISBURSED</t>
  </si>
  <si>
    <t>C.B. 30A/9</t>
  </si>
  <si>
    <t>C.B. 30A -10-</t>
  </si>
  <si>
    <t>- RESIDENTIAL</t>
  </si>
  <si>
    <t>- NON - RESIDENTIAL</t>
  </si>
  <si>
    <t>Over 10 years to 15 years</t>
  </si>
  <si>
    <t>......................................................................................................</t>
  </si>
  <si>
    <t>INSTITUTIONS</t>
  </si>
  <si>
    <t>BUSINESSES</t>
  </si>
  <si>
    <t xml:space="preserve">CB 30A - REAL ESTATE MORTGAGES </t>
  </si>
  <si>
    <t>QUARTERLY RETURN</t>
  </si>
  <si>
    <t>RENOVATION/</t>
  </si>
  <si>
    <t>{E30A.REM.FR.PBSEC.OS._INT.0_3_PERCT..NUM}</t>
  </si>
  <si>
    <t>{E30A.REM.FR.PBSEC.OS._INT.0_3_PERCT..VAL}</t>
  </si>
  <si>
    <t>{E30A.REM.VAR.PBSEC.OS._INT.0_3_PERCT..NUM}</t>
  </si>
  <si>
    <t>{E30A.REM.VAR.PBSEC.OS._INT.0_3_PERCT..VAL}</t>
  </si>
  <si>
    <t>{E30A.REM.ADJ.PBSEC.OS._INT.0_3_PERCT..NUM}</t>
  </si>
  <si>
    <t>{E30A.REM.ADJ.PBSEC.OS._INT.0_3_PERCT..VAL}</t>
  </si>
  <si>
    <t>{E30A.REM.PBSEC.OS._INT.0_3_PERCT.TTL..NUM}</t>
  </si>
  <si>
    <t>{E30A.REM.PBSEC.OS._INT.0_3_PERCT.TTL..VAL}</t>
  </si>
  <si>
    <t>{E30A.REM.FR.PBSEC.OS._INT.3.1_4_PERCT..NUM}</t>
  </si>
  <si>
    <t>{E30A.REM.FR.PBSEC.OS._INT.3.1_4_PERCT..VAL}</t>
  </si>
  <si>
    <t>{E30A.REM.VAR.PBSEC.OS._INT.3.1_4_PERCT..NUM}</t>
  </si>
  <si>
    <t>{E30A.REM.VAR.PBSEC.OS._INT.3.1_4_PERCT..VAL}</t>
  </si>
  <si>
    <t>{E30A.REM.ADJ.PBSEC.OS._INT.3.1_4_PERCT..NUM}</t>
  </si>
  <si>
    <t>{E30A.REM.ADJ.PBSEC.OS._INT.3.1_4_PERCT..VAL}</t>
  </si>
  <si>
    <t>{E30A.REM.PBSEC.OS._INT.3.1_4_PERCT.TTL..NUM}</t>
  </si>
  <si>
    <t>{E30A.REM.PBSEC.OS._INT.3.1_4_PERCT.TTL..VAL}</t>
  </si>
  <si>
    <t>{E30A.REM.FR.PBSEC.OS._INT.4.1_5_PERCT..NUM}</t>
  </si>
  <si>
    <t>{E30A.REM.FR.PBSEC.OS._INT.4.1_5_PERCT..VAL}</t>
  </si>
  <si>
    <t>{E30A.REM.VAR.PBSEC.OS._INT.4.1_5_PERCT..NUM}</t>
  </si>
  <si>
    <t>{E30A.REM.VAR.PBSEC.OS._INT.4.1_5_PERCT..VAL}</t>
  </si>
  <si>
    <t>{E30A.REM.ADJ.PBSEC.OS._INT.4.1_5_PERCT..NUM}</t>
  </si>
  <si>
    <t>{E30A.REM.ADJ.PBSEC.OS._INT.4.1_5_PERCT..VAL}</t>
  </si>
  <si>
    <t>{E30A.REM.PBSEC.OS._INT.4.1_5_PERCT.TTL..NUM}</t>
  </si>
  <si>
    <t>{E30A.REM.PBSEC.OS._INT.4.1_5_PERCT.TTL..VAL}</t>
  </si>
  <si>
    <t>{E30A.REM.FR.PBSEC.OS._INT.5.1_6_PERCT..NUM}</t>
  </si>
  <si>
    <t>{E30A.REM.FR.PBSEC.OS._INT.5.1_6_PERCT..VAL}</t>
  </si>
  <si>
    <t>{E30A.REM.VAR.PBSEC.OS._INT.5.1_6_PERCT..NUM}</t>
  </si>
  <si>
    <t>{E30A.REM.VAR.PBSEC.OS._INT.5.1_6_PERCT..VAL}</t>
  </si>
  <si>
    <t>{E30A.REM.ADJ.PBSEC.OS._INT.5.1_6_PERCT..NUM}</t>
  </si>
  <si>
    <t>{E30A.REM.ADJ.PBSEC.OS._INT.5.1_6_PERCT..VAL}</t>
  </si>
  <si>
    <t>{E30A.REM.PBSEC.OS._INT.5.1_6_PERCT.TTL..NUM}</t>
  </si>
  <si>
    <t>{E30A.REM.PBSEC.OS._INT.5.1_6_PERCT.TTL..VAL}</t>
  </si>
  <si>
    <t>{E30A.REM.FR.PBSEC.OS._INT.6.1_7_PERCT..NUM}</t>
  </si>
  <si>
    <t>{E30A.REM.FR.PBSEC.OS._INT.6.1_7_PERCT..VAL}</t>
  </si>
  <si>
    <t>{E30A.REM.VAR.PBSEC.OS._INT.6.1_7_PERCT..NUM}</t>
  </si>
  <si>
    <t>{E30A.REM.VAR.PBSEC.OS._INT.6.1_7_PERCT..VAL}</t>
  </si>
  <si>
    <t>{E30A.REM.ADJ.PBSEC.OS._INT.6.1_7_PERCT..NUM}</t>
  </si>
  <si>
    <t>{E30A.REM.ADJ.PBSEC.OS._INT.6.1_7_PERCT..VAL}</t>
  </si>
  <si>
    <t>{E30A.REM.PBSEC.OS._INT.6.1_7_PERCT.TTL..NUM}</t>
  </si>
  <si>
    <t>{E30A.REM.PBSEC.OS._INT.6.1_7_PERCT.TTL..VAL}</t>
  </si>
  <si>
    <t>{E30A.REM.FR.PBSEC.OS._INT.7.1_8_PERCT..NUM}</t>
  </si>
  <si>
    <t>{E30A.REM.FR.PBSEC.OS._INT.7.1_8_PERCT..VAL}</t>
  </si>
  <si>
    <t>{E30A.REM.VAR.PBSEC.OS._INT.7.1_8_PERCT..NUM}</t>
  </si>
  <si>
    <t>{E30A.REM.VAR.PBSEC.OS._INT.7.1_8_PERCT..VAL}</t>
  </si>
  <si>
    <t>{E30A.REM.ADJ.PBSEC.OS._INT.7.1_8_PERCT..NUM}</t>
  </si>
  <si>
    <t>{E30A.REM.ADJ.PBSEC.OS._INT.7.1_8_PERCT..VAL}</t>
  </si>
  <si>
    <t>{E30A.REM.PBSEC.OS._INT.7.1_8_PERCT.TTL..NUM}</t>
  </si>
  <si>
    <t>{E30A.REM.PBSEC.OS._INT.7.1_8_PERCT.TTL..VAL}</t>
  </si>
  <si>
    <t>{E30A.REM.FR.PBSEC.OS._INT.8.1_9_PERCT..NUM}</t>
  </si>
  <si>
    <t>{E30A.REM.FR.PBSEC.OS._INT.8.1_9_PERCT..VAL}</t>
  </si>
  <si>
    <t>{E30A.REM.VAR.PBSEC.OS._INT.8.1_9_PERCT..NUM}</t>
  </si>
  <si>
    <t>{E30A.REM.VAR.PBSEC.OS._INT.8.1_9_PERCT..VAL}</t>
  </si>
  <si>
    <t>{E30A.REM.ADJ.PBSEC.OS._INT.8.1_9_PERCT..NUM}</t>
  </si>
  <si>
    <t>{E30A.REM.ADJ.PBSEC.OS._INT.8.1_9_PERCT..VAL}</t>
  </si>
  <si>
    <t>{E30A.REM.PBSEC.OS._INT.8.1_9_PERCT.TTL..NUM}</t>
  </si>
  <si>
    <t>{E30A.REM.PBSEC.OS._INT.8.1_9_PERCT.TTL..VAL}</t>
  </si>
  <si>
    <t>{E30A.REM.FR.PBSEC.OS._INT.9.1_10_PERCT..NUM}</t>
  </si>
  <si>
    <t>{E30A.REM.FR.PBSEC.OS._INT.9.1_10_PERCT..VAL}</t>
  </si>
  <si>
    <t>{E30A.REM.VAR.PBSEC.OS._INT.9.1_10_PERCT..NUM}</t>
  </si>
  <si>
    <t>{E30A.REM.VAR.PBSEC.OS._INT.9.1_10_PERCT..VAL}</t>
  </si>
  <si>
    <t>{E30A.REM.ADJ.PBSEC.OS._INT.9.1_10_PERCT..NUM}</t>
  </si>
  <si>
    <t>{E30A.REM.ADJ.PBSEC.OS._INT.9.1_10_PERCT..VAL}</t>
  </si>
  <si>
    <t>{E30A.REM.PBSEC.OS._INT.9.1_10_PERCT.TTL..NUM}</t>
  </si>
  <si>
    <t>{E30A.REM.PBSEC.OS._INT.9.1_10_PERCT.TTL..VAL}</t>
  </si>
  <si>
    <t>{E30A.REM.FR.PBSEC.OS._INT.10.1_11_PERCT..NUM}</t>
  </si>
  <si>
    <t>{E30A.REM.FR.PBSEC.OS._INT.10.1_11_PERCT..VAL}</t>
  </si>
  <si>
    <t>{E30A.REM.VAR.PBSEC.OS._INT.10.1_11_PERCT..NUM}</t>
  </si>
  <si>
    <t>{E30A.REM.VAR.PBSEC.OS._INT.10.1_11_PERCT..VAL}</t>
  </si>
  <si>
    <t>{E30A.REM.ADJ.PBSEC.OS._INT.10.1_11_PERCT..NUM}</t>
  </si>
  <si>
    <t>{E30A.REM.ADJ.PBSEC.OS._INT.10.1_11_PERCT..VAL}</t>
  </si>
  <si>
    <t>{E30A.REM.PBSEC.OS._INT.10.1_11_PERCT.TTL..NUM}</t>
  </si>
  <si>
    <t>{E30A.REM.PBSEC.OS._INT.10.1_11_PERCT.TTL..VAL}</t>
  </si>
  <si>
    <t>{E30A.REM.FR.PBSEC.OS._INT.11.1_12_PERCT..NUM}</t>
  </si>
  <si>
    <t>{E30A.REM.FR.PBSEC.OS._INT.11.1_12_PERCT..VAL}</t>
  </si>
  <si>
    <t>{E30A.REM.VAR.PBSEC.OS._INT.11.1_12_PERCT..NUM}</t>
  </si>
  <si>
    <t>{E30A.REM.VAR.PBSEC.OS._INT.11.1_12_PERCT..VAL}</t>
  </si>
  <si>
    <t>{E30A.REM.ADJ.PBSEC.OS._INT.11.1_12_PERCT..NUM}</t>
  </si>
  <si>
    <t>{E30A.REM.ADJ.PBSEC.OS._INT.11.1_12_PERCT..VAL}</t>
  </si>
  <si>
    <t>{E30A.REM.PBSEC.OS._INT.11.1_12_PERCT.TTL..NUM}</t>
  </si>
  <si>
    <t>{E30A.REM.PBSEC.OS._INT.11.1_12_PERCT.TTL..VAL}</t>
  </si>
  <si>
    <t>{E30A.REM.FR.PBSEC.OS._INT.12.1_13_PERCT..NUM}</t>
  </si>
  <si>
    <t>{E30A.REM.FR.PBSEC.OS._INT.12.1_13_PERCT..VAL}</t>
  </si>
  <si>
    <t>{E30A.REM.VAR.PBSEC.OS._INT.12.1_13_PERCT..NUM}</t>
  </si>
  <si>
    <t>{E30A.REM.VAR.PBSEC.OS._INT.12.1_13_PERCT..VAL}</t>
  </si>
  <si>
    <t>{E30A.REM.ADJ.PBSEC.OS._INT.12.1_13_PERCT..NUM}</t>
  </si>
  <si>
    <t>{E30A.REM.ADJ.PBSEC.OS._INT.12.1_13_PERCT..VAL}</t>
  </si>
  <si>
    <t>{E30A.REM.PBSEC.OS._INT.12.1_13_PERCT.TTL..NUM}</t>
  </si>
  <si>
    <t>{E30A.REM.PBSEC.OS._INT.12.1_13_PERCT.TTL..VAL}</t>
  </si>
  <si>
    <t>{E30A.REM.FR.PBSEC.OS._INT.13.1_14_PERCT..NUM}</t>
  </si>
  <si>
    <t>{E30A.REM.FR.PBSEC.OS._INT.13.1_14_PERCT..VAL}</t>
  </si>
  <si>
    <t>{E30A.REM.VAR.PBSEC.OS._INT.13.1_14_PERCT..NUM}</t>
  </si>
  <si>
    <t>{E30A.REM.VAR.PBSEC.OS._INT.13.1_14_PERCT..VAL}</t>
  </si>
  <si>
    <t>{E30A.REM.ADJ.PBSEC.OS._INT.13.1_14_PERCT..NUM}</t>
  </si>
  <si>
    <t>{E30A.REM.ADJ.PBSEC.OS._INT.13.1_14_PERCT..VAL}</t>
  </si>
  <si>
    <t>{E30A.REM.PBSEC.OS._INT.13.1_14_PERCT.TTL..NUM}</t>
  </si>
  <si>
    <t>{E30A.REM.PBSEC.OS._INT.13.1_14_PERCT.TTL..VAL}</t>
  </si>
  <si>
    <t>{E30A.REM.FR.PBSEC.OS._INT.14.1_15_PERCT..NUM}</t>
  </si>
  <si>
    <t>{E30A.REM.FR.PBSEC.OS._INT.14.1_15_PERCT..VAL}</t>
  </si>
  <si>
    <t>{E30A.REM.VAR.PBSEC.OS._INT.14.1_15_PERCT..NUM}</t>
  </si>
  <si>
    <t>{E30A.REM.VAR.PBSEC.OS._INT.14.1_15_PERCT..VAL}</t>
  </si>
  <si>
    <t>{E30A.REM.ADJ.PBSEC.OS._INT.14.1_15_PERCT..NUM}</t>
  </si>
  <si>
    <t>{E30A.REM.ADJ.PBSEC.OS._INT.14.1_15_PERCT..VAL}</t>
  </si>
  <si>
    <t>{E30A.REM.PBSEC.OS._INT.14.1_15_PERCT.TTL..NUM}</t>
  </si>
  <si>
    <t>{E30A.REM.PBSEC.OS._INT.14.1_15_PERCT.TTL..VAL}</t>
  </si>
  <si>
    <t>{E30A.REM.FR.PBSEC.OS._INT.OVR_15.1_PERCT..NUM}</t>
  </si>
  <si>
    <t>{E30A.REM.FR.PBSEC.OS._INT.OVR_15.1_PERCT..VAL}</t>
  </si>
  <si>
    <t>{E30A.REM.VAR.PBSEC.OS._INT.OVR_15.1_PERCT..NUM}</t>
  </si>
  <si>
    <t>{E30A.REM.VAR.PBSEC.OS._INT.OVR_15.1_PERCT..VAL}</t>
  </si>
  <si>
    <t>{E30A.REM.ADJ.PBSEC.OS._INT.OVR_15.1_PERCT..NUM}</t>
  </si>
  <si>
    <t>{E30A.REM.ADJ.PBSEC.OS._INT.OVR_15.1_PERCT..VAL}</t>
  </si>
  <si>
    <t>{E30A.REM.PBSEC.OS._INT.OVR_15.1_PERCT.TTL..NUM}</t>
  </si>
  <si>
    <t>{E30A.REM.PBSEC.OS._INT.OVR_15.1_PERCT.TTL..VAL}</t>
  </si>
  <si>
    <t>{E30A.REM.FR.PVFIN.OS._INT.0_3_PERCT..NUM}</t>
  </si>
  <si>
    <t>{E30A.REM.FR.PVFIN.OS._INT.0_3_PERCT..VAL}</t>
  </si>
  <si>
    <t>{E30A.REM.VAR.PVFIN.OS._INT.0_3_PERCT..NUM}</t>
  </si>
  <si>
    <t>{E30A.REM.VAR.PVFIN.OS._INT.0_3_PERCT..VAL}</t>
  </si>
  <si>
    <t>{E30A.REM.ADJ.PVFIN.OS._INT.0_3_PERCT..NUM}</t>
  </si>
  <si>
    <t>{E30A.REM.ADJ.PVFIN.OS._INT.0_3_PERCT..VAL}</t>
  </si>
  <si>
    <t>{E30A.REM.PVFIN.OS._INT.0_3_PERCT.TTL..NUM}</t>
  </si>
  <si>
    <t>{E30A.REM.PVFIN.OS._INT.0_3_PERCT.TTL..VAL}</t>
  </si>
  <si>
    <t>{E30A.REM.FR.PVFIN.OS._INT.3.1_4_PERCT..NUM}</t>
  </si>
  <si>
    <t>{E30A.REM.FR.PVFIN.OS._INT.3.1_4_PERCT..VAL}</t>
  </si>
  <si>
    <t>{E30A.REM.VAR.PVFIN.OS._INT.3.1_4_PERCT..NUM}</t>
  </si>
  <si>
    <t>{E30A.REM.VAR.PVFIN.OS._INT.3.1_4_PERCT..VAL}</t>
  </si>
  <si>
    <t>{E30A.REM.ADJ.PVFIN.OS._INT.3.1_4_PERCT..NUM}</t>
  </si>
  <si>
    <t>{E30A.REM.ADJ.PVFIN.OS._INT.3.1_4_PERCT..VAL}</t>
  </si>
  <si>
    <t>{E30A.REM.PVFIN.OS._INT.3.1_4_PERCT.TTL..NUM}</t>
  </si>
  <si>
    <t>{E30A.REM.PVFIN.OS._INT.3.1_4_PERCT.TTL..VAL}</t>
  </si>
  <si>
    <t>{E30A.REM.FR.PVFIN.OS._INT.4.1_5_PERCT..NUM}</t>
  </si>
  <si>
    <t>{E30A.REM.FR.PVFIN.OS._INT.4.1_5_PERCT..VAL}</t>
  </si>
  <si>
    <t>{E30A.REM.VAR.PVFIN.OS._INT.4.1_5_PERCT..NUM}</t>
  </si>
  <si>
    <t>{E30A.REM.VAR.PVFIN.OS._INT.4.1_5_PERCT..VAL}</t>
  </si>
  <si>
    <t>{E30A.REM.ADJ.PVFIN.OS._INT.4.1_5_PERCT..NUM}</t>
  </si>
  <si>
    <t>{E30A.REM.ADJ.PVFIN.OS._INT.4.1_5_PERCT..VAL}</t>
  </si>
  <si>
    <t>{E30A.REM.PVFIN.OS._INT.4.1_5_PERCT.TTL..NUM}</t>
  </si>
  <si>
    <t>{E30A.REM.PVFIN.OS._INT.4.1_5_PERCT.TTL..VAL}</t>
  </si>
  <si>
    <t>{E30A.REM.FR.PVFIN.OS._INT.5.1_6_PERCT..NUM}</t>
  </si>
  <si>
    <t>{E30A.REM.FR.PVFIN.OS._INT.5.1_6_PERCT..VAL}</t>
  </si>
  <si>
    <t>{E30A.REM.VAR.PVFIN.OS._INT.5.1_6_PERCT..NUM}</t>
  </si>
  <si>
    <t>{E30A.REM.VAR.PVFIN.OS._INT.5.1_6_PERCT..VAL}</t>
  </si>
  <si>
    <t>{E30A.REM.ADJ.PVFIN.OS._INT.5.1_6_PERCT..NUM}</t>
  </si>
  <si>
    <t>{E30A.REM.ADJ.PVFIN.OS._INT.5.1_6_PERCT..VAL}</t>
  </si>
  <si>
    <t>{E30A.REM.PVFIN.OS._INT.5.1_6_PERCT.TTL..NUM}</t>
  </si>
  <si>
    <t>{E30A.REM.PVFIN.OS._INT.5.1_6_PERCT.TTL..VAL}</t>
  </si>
  <si>
    <t>{E30A.REM.FR.PVFIN.OS._INT.6.1_7_PERCT..NUM}</t>
  </si>
  <si>
    <t>{E30A.REM.FR.PVFIN.OS._INT.6.1_7_PERCT..VAL}</t>
  </si>
  <si>
    <t>{E30A.REM.VAR.PVFIN.OS._INT.6.1_7_PERCT..NUM}</t>
  </si>
  <si>
    <t>{E30A.REM.VAR.PVFIN.OS._INT.6.1_7_PERCT..VAL}</t>
  </si>
  <si>
    <t>{E30A.REM.ADJ.PVFIN.OS._INT.6.1_7_PERCT..NUM}</t>
  </si>
  <si>
    <t>{E30A.REM.ADJ.PVFIN.OS._INT.6.1_7_PERCT..VAL}</t>
  </si>
  <si>
    <t>{E30A.REM.PVFIN.OS._INT.6.1_7_PERCT.TTL..NUM}</t>
  </si>
  <si>
    <t>{E30A.REM.PVFIN.OS._INT.6.1_7_PERCT.TTL..VAL}</t>
  </si>
  <si>
    <t>{E30A.REM.FR.PVFIN.OS._INT.7.1_8_PERCT..NUM}</t>
  </si>
  <si>
    <t>{E30A.REM.FR.PVFIN.OS._INT.7.1_8_PERCT..VAL}</t>
  </si>
  <si>
    <t>{E30A.REM.VAR.PVFIN.OS._INT.7.1_8_PERCT..NUM}</t>
  </si>
  <si>
    <t>{E30A.REM.VAR.PVFIN.OS._INT.7.1_8_PERCT..VAL}</t>
  </si>
  <si>
    <t>{E30A.REM.ADJ.PVFIN.OS._INT.7.1_8_PERCT..NUM}</t>
  </si>
  <si>
    <t>{E30A.REM.ADJ.PVFIN.OS._INT.7.1_8_PERCT..VAL}</t>
  </si>
  <si>
    <t>{E30A.REM.PVFIN.OS._INT.7.1_8_PERCT.TTL..NUM}</t>
  </si>
  <si>
    <t>{E30A.REM.PVFIN.OS._INT.7.1_8_PERCT.TTL..VAL}</t>
  </si>
  <si>
    <t>{E30A.REM.FR.PVFIN.OS._INT.8.1_9_PERCT..NUM}</t>
  </si>
  <si>
    <t>{E30A.REM.FR.PVFIN.OS._INT.8.1_9_PERCT..VAL}</t>
  </si>
  <si>
    <t>{E30A.REM.VAR.PVFIN.OS._INT.8.1_9_PERCT..NUM}</t>
  </si>
  <si>
    <t>{E30A.REM.VAR.PVFIN.OS._INT.8.1_9_PERCT..VAL}</t>
  </si>
  <si>
    <t>{E30A.REM.ADJ.PVFIN.OS._INT.8.1_9_PERCT..NUM}</t>
  </si>
  <si>
    <t>{E30A.REM.ADJ.PVFIN.OS._INT.8.1_9_PERCT..VAL}</t>
  </si>
  <si>
    <t>{E30A.REM.PVFIN.OS._INT.8.1_9_PERCT.TTL..NUM}</t>
  </si>
  <si>
    <t>{E30A.REM.PVFIN.OS._INT.8.1_9_PERCT.TTL..VAL}</t>
  </si>
  <si>
    <t>{E30A.REM.FR.PVFIN.OS._INT.9.1_10_PERCT..NUM}</t>
  </si>
  <si>
    <t>{E30A.REM.FR.PVFIN.OS._INT.9.1_10_PERCT..VAL}</t>
  </si>
  <si>
    <t>{E30A.REM.VAR.PVFIN.OS._INT.9.1_10_PERCT..NUM}</t>
  </si>
  <si>
    <t>{E30A.REM.VAR.PVFIN.OS._INT.9.1_10_PERCT..VAL}</t>
  </si>
  <si>
    <t>{E30A.REM.ADJ.PVFIN.OS._INT.9.1_10_PERCT..NUM}</t>
  </si>
  <si>
    <t>{E30A.REM.ADJ.PVFIN.OS._INT.9.1_10_PERCT..VAL}</t>
  </si>
  <si>
    <t>{E30A.REM.PVFIN.OS._INT.9.1_10_PERCT.TTL..NUM}</t>
  </si>
  <si>
    <t>{E30A.REM.PVFIN.OS._INT.9.1_10_PERCT.TTL..VAL}</t>
  </si>
  <si>
    <t>{E30A.REM.FR.PVFIN.OS._INT.10.1_11_PERCT..NUM}</t>
  </si>
  <si>
    <t>{E30A.REM.FR.PVFIN.OS._INT.10.1_11_PERCT..VAL}</t>
  </si>
  <si>
    <t>{E30A.REM.VAR.PVFIN.OS._INT.10.1_11_PERCT..NUM}</t>
  </si>
  <si>
    <t>{E30A.REM.VAR.PVFIN.OS._INT.10.1_11_PERCT..VAL}</t>
  </si>
  <si>
    <t>{E30A.REM.ADJ.PVFIN.OS._INT.10.1_11_PERCT..NUM}</t>
  </si>
  <si>
    <t>{E30A.REM.ADJ.PVFIN.OS._INT.10.1_11_PERCT..VAL}</t>
  </si>
  <si>
    <t>{E30A.REM.PVFIN.OS._INT.10.1_11_PERCT.TTL..NUM}</t>
  </si>
  <si>
    <t>{E30A.REM.PVFIN.OS._INT.10.1_11_PERCT.TTL..VAL}</t>
  </si>
  <si>
    <t>{E30A.REM.FR.PVFIN.OS._INT.11.1_12_PERCT..NUM}</t>
  </si>
  <si>
    <t>{E30A.REM.FR.PVFIN.OS._INT.11.1_12_PERCT..VAL}</t>
  </si>
  <si>
    <t>{E30A.REM.VAR.PVFIN.OS._INT.11.1_12_PERCT..NUM}</t>
  </si>
  <si>
    <t>{E30A.REM.VAR.PVFIN.OS._INT.11.1_12_PERCT..VAL}</t>
  </si>
  <si>
    <t>{E30A.REM.ADJ.PVFIN.OS._INT.11.1_12_PERCT..NUM}</t>
  </si>
  <si>
    <t>{E30A.REM.ADJ.PVFIN.OS._INT.11.1_12_PERCT..VAL}</t>
  </si>
  <si>
    <t>{E30A.REM.PVFIN.OS._INT.11.1_12_PERCT.TTL..NUM}</t>
  </si>
  <si>
    <t>{E30A.REM.PVFIN.OS._INT.11.1_12_PERCT.TTL..VAL}</t>
  </si>
  <si>
    <t>{E30A.REM.FR.PVFIN.OS._INT.12.1_13_PERCT..NUM}</t>
  </si>
  <si>
    <t>{E30A.REM.FR.PVFIN.OS._INT.12.1_13_PERCT..VAL}</t>
  </si>
  <si>
    <t>{E30A.REM.VAR.PVFIN.OS._INT.12.1_13_PERCT..NUM}</t>
  </si>
  <si>
    <t>{E30A.REM.VAR.PVFIN.OS._INT.12.1_13_PERCT..VAL}</t>
  </si>
  <si>
    <t>{E30A.REM.ADJ.PVFIN.OS._INT.12.1_13_PERCT..NUM}</t>
  </si>
  <si>
    <t>{E30A.REM.ADJ.PVFIN.OS._INT.12.1_13_PERCT..VAL}</t>
  </si>
  <si>
    <t>{E30A.REM.PVFIN.OS._INT.12.1_13_PERCT.TTL..NUM}</t>
  </si>
  <si>
    <t>{E30A.REM.PVFIN.OS._INT.12.1_13_PERCT.TTL..VAL}</t>
  </si>
  <si>
    <t>{E30A.REM.FR.PVFIN.OS._INT.13.1_14_PERCT..NUM}</t>
  </si>
  <si>
    <t>{E30A.REM.FR.PVFIN.OS._INT.13.1_14_PERCT..VAL}</t>
  </si>
  <si>
    <t>{E30A.REM.VAR.PVFIN.OS._INT.13.1_14_PERCT..NUM}</t>
  </si>
  <si>
    <t>{E30A.REM.VAR.PVFIN.OS._INT.13.1_14_PERCT..VAL}</t>
  </si>
  <si>
    <t>{E30A.REM.ADJ.PVFIN.OS._INT.13.1_14_PERCT..NUM}</t>
  </si>
  <si>
    <t>{E30A.REM.ADJ.PVFIN.OS._INT.13.1_14_PERCT..VAL}</t>
  </si>
  <si>
    <t>{E30A.REM.PVFIN.OS._INT.13.1_14_PERCT.TTL..NUM}</t>
  </si>
  <si>
    <t>{E30A.REM.PVFIN.OS._INT.13.1_14_PERCT.TTL..VAL}</t>
  </si>
  <si>
    <t>{E30A.REM.FR.PVFIN.OS._INT.14.1_15_PERCT..NUM}</t>
  </si>
  <si>
    <t>{E30A.REM.FR.PVFIN.OS._INT.14.1_15_PERCT..VAL}</t>
  </si>
  <si>
    <t>{E30A.REM.VAR.PVFIN.OS._INT.14.1_15_PERCT..NUM}</t>
  </si>
  <si>
    <t>{E30A.REM.VAR.PVFIN.OS._INT.14.1_15_PERCT..VAL}</t>
  </si>
  <si>
    <t>{E30A.REM.ADJ.PVFIN.OS._INT.14.1_15_PERCT..NUM}</t>
  </si>
  <si>
    <t>{E30A.REM.ADJ.PVFIN.OS._INT.14.1_15_PERCT..VAL}</t>
  </si>
  <si>
    <t>{E30A.REM.PVFIN.OS._INT.14.1_15_PERCT.TTL..NUM}</t>
  </si>
  <si>
    <t>{E30A.REM.PVFIN.OS._INT.14.1_15_PERCT.TTL..VAL}</t>
  </si>
  <si>
    <t>{E30A.REM.FR.PVFIN.OS._INT.OVR_15.1_PERCT..NUM}</t>
  </si>
  <si>
    <t>{E30A.REM.FR.PVFIN.OS._INT.OVR_15.1_PERCT..VAL}</t>
  </si>
  <si>
    <t>{E30A.REM.VAR.PVFIN.OS._INT.OVR_15.1_PERCT..NUM}</t>
  </si>
  <si>
    <t>{E30A.REM.VAR.PVFIN.OS._INT.OVR_15.1_PERCT..VAL}</t>
  </si>
  <si>
    <t>{E30A.REM.ADJ.PVFIN.OS._INT.OVR_15.1_PERCT..NUM}</t>
  </si>
  <si>
    <t>{E30A.REM.ADJ.PVFIN.OS._INT.OVR_15.1_PERCT..VAL}</t>
  </si>
  <si>
    <t>{E30A.REM.PVFIN.OS._INT.OVR_15.1_PERCT.TTL..NUM}</t>
  </si>
  <si>
    <t>{E30A.REM.PVFIN.OS._INT.OVR_15.1_PERCT.TTL..VAL}</t>
  </si>
  <si>
    <t>{E30A.REM.FR.IBUS.OS._INT.0_3_PERCT..NUM}</t>
  </si>
  <si>
    <t>{E30A.REM.FR.IBUS.OS._INT.0_3_PERCT..VAL}</t>
  </si>
  <si>
    <t>{E30A.REM.VAR.IBUS.OS._INT.0_3_PERCT..NUM}</t>
  </si>
  <si>
    <t>{E30A.REM.VAR.IBUS.OS._INT.0_3_PERCT..VAL}</t>
  </si>
  <si>
    <t>{E30A.REM.ADJ.IBUS.OS._INT.0_3_PERCT..NUM}</t>
  </si>
  <si>
    <t>{E30A.REM.ADJ.IBUS.OS._INT.0_3_PERCT..VAL}</t>
  </si>
  <si>
    <t>{E30A.REM.IBUS.OS._INT.0_3_PERCT.TTL..NUM}</t>
  </si>
  <si>
    <t>{E30A.REM.IBUS.OS._INT.0_3_PERCT.TTL..VAL}</t>
  </si>
  <si>
    <t>{E30A.REM.FR.IBUS.OS._INT.3.1_4_PERCT..NUM}</t>
  </si>
  <si>
    <t>{E30A.REM.FR.IBUS.OS._INT.3.1_4_PERCT..VAL}</t>
  </si>
  <si>
    <t>{E30A.REM.VAR.IBUS.OS._INT.3.1_4_PERCT..NUM}</t>
  </si>
  <si>
    <t>{E30A.REM.VAR.IBUS.OS._INT.3.1_4_PERCT..VAL}</t>
  </si>
  <si>
    <t>{E30A.REM.ADJ.IBUS.OS._INT.3.1_4_PERCT..NUM}</t>
  </si>
  <si>
    <t>{E30A.REM.ADJ.IBUS.OS._INT.3.1_4_PERCT..VAL}</t>
  </si>
  <si>
    <t>{E30A.REM.IBUS.OS._INT.3.1_4_PERCT.TTL..NUM}</t>
  </si>
  <si>
    <t>{E30A.REM.IBUS.OS._INT.3.1_4_PERCT.TTL..VAL}</t>
  </si>
  <si>
    <t>{E30A.REM.FR.IBUS.OS._INT.4.1_5_PERCT..NUM}</t>
  </si>
  <si>
    <t>{E30A.REM.FR.IBUS.OS._INT.4.1_5_PERCT..VAL}</t>
  </si>
  <si>
    <t>{E30A.REM.VAR.IBUS.OS._INT.4.1_5_PERCT..NUM}</t>
  </si>
  <si>
    <t>{E30A.REM.VAR.IBUS.OS._INT.4.1_5_PERCT..VAL}</t>
  </si>
  <si>
    <t>{E30A.REM.ADJ.IBUS.OS._INT.4.1_5_PERCT..NUM}</t>
  </si>
  <si>
    <t>{E30A.REM.ADJ.IBUS.OS._INT.4.1_5_PERCT..VAL}</t>
  </si>
  <si>
    <t>{E30A.REM.IBUS.OS._INT.4.1_5_PERCT.TTL..NUM}</t>
  </si>
  <si>
    <t>{E30A.REM.IBUS.OS._INT.4.1_5_PERCT.TTL..VAL}</t>
  </si>
  <si>
    <t>{E30A.REM.FR.IBUS.OS._INT.5.1_6_PERCT..NUM}</t>
  </si>
  <si>
    <t>{E30A.REM.FR.IBUS.OS._INT.5.1_6_PERCT..VAL}</t>
  </si>
  <si>
    <t>{E30A.REM.VAR.IBUS.OS._INT.5.1_6_PERCT..NUM}</t>
  </si>
  <si>
    <t>{E30A.REM.VAR.IBUS.OS._INT.5.1_6_PERCT..VAL}</t>
  </si>
  <si>
    <t>{E30A.REM.ADJ.IBUS.OS._INT.5.1_6_PERCT..NUM}</t>
  </si>
  <si>
    <t>{E30A.REM.ADJ.IBUS.OS._INT.5.1_6_PERCT..VAL}</t>
  </si>
  <si>
    <t>{E30A.REM.IBUS.OS._INT.5.1_6_PERCT.TTL..NUM}</t>
  </si>
  <si>
    <t>{E30A.REM.IBUS.OS._INT.5.1_6_PERCT.TTL..VAL}</t>
  </si>
  <si>
    <t>{E30A.REM.FR.IBUS.OS._INT.6.1_7_PERCT..NUM}</t>
  </si>
  <si>
    <t>{E30A.REM.FR.IBUS.OS._INT.6.1_7_PERCT..VAL}</t>
  </si>
  <si>
    <t>{E30A.REM.VAR.IBUS.OS._INT.6.1_7_PERCT..NUM}</t>
  </si>
  <si>
    <t>{E30A.REM.VAR.IBUS.OS._INT.6.1_7_PERCT..VAL}</t>
  </si>
  <si>
    <t>{E30A.REM.ADJ.IBUS.OS._INT.6.1_7_PERCT..NUM}</t>
  </si>
  <si>
    <t>{E30A.REM.ADJ.IBUS.OS._INT.6.1_7_PERCT..VAL}</t>
  </si>
  <si>
    <t>{E30A.REM.IBUS.OS._INT.6.1_7_PERCT.TTL..NUM}</t>
  </si>
  <si>
    <t>{E30A.REM.IBUS.OS._INT.6.1_7_PERCT.TTL..VAL}</t>
  </si>
  <si>
    <t>{E30A.REM.FR.IBUS.OS._INT.7.1_8_PERCT..NUM}</t>
  </si>
  <si>
    <t>{E30A.REM.FR.IBUS.OS._INT.7.1_8_PERCT..VAL}</t>
  </si>
  <si>
    <t>{E30A.REM.VAR.IBUS.OS._INT.7.1_8_PERCT..NUM}</t>
  </si>
  <si>
    <t>{E30A.REM.VAR.IBUS.OS._INT.7.1_8_PERCT..VAL}</t>
  </si>
  <si>
    <t>{E30A.REM.ADJ.IBUS.OS._INT.7.1_8_PERCT..NUM}</t>
  </si>
  <si>
    <t>{E30A.REM.ADJ.IBUS.OS._INT.7.1_8_PERCT..VAL}</t>
  </si>
  <si>
    <t>{E30A.REM.IBUS.OS._INT.7.1_8_PERCT.TTL..NUM}</t>
  </si>
  <si>
    <t>{E30A.REM.IBUS.OS._INT.7.1_8_PERCT.TTL..VAL}</t>
  </si>
  <si>
    <t>{E30A.REM.FR.IBUS.OS._INT.8.1_9_PERCT..NUM}</t>
  </si>
  <si>
    <t>{E30A.REM.FR.IBUS.OS._INT.8.1_9_PERCT..VAL}</t>
  </si>
  <si>
    <t>{E30A.REM.VAR.IBUS.OS._INT.8.1_9_PERCT..NUM}</t>
  </si>
  <si>
    <t>{E30A.REM.VAR.IBUS.OS._INT.8.1_9_PERCT..VAL}</t>
  </si>
  <si>
    <t>{E30A.REM.ADJ.IBUS.OS._INT.8.1_9_PERCT..NUM}</t>
  </si>
  <si>
    <t>{E30A.REM.ADJ.IBUS.OS._INT.8.1_9_PERCT..VAL}</t>
  </si>
  <si>
    <t>{E30A.REM.IBUS.OS._INT.8.1_9_PERCT.TTL..NUM}</t>
  </si>
  <si>
    <t>{E30A.REM.IBUS.OS._INT.8.1_9_PERCT.TTL..VAL}</t>
  </si>
  <si>
    <t>{E30A.REM.FR.IBUS.OS._INT.9.1_10_PERCT..NUM}</t>
  </si>
  <si>
    <t>{E30A.REM.FR.IBUS.OS._INT.9.1_10_PERCT..VAL}</t>
  </si>
  <si>
    <t>{E30A.REM.VAR.IBUS.OS._INT.9.1_10_PERCT..NUM}</t>
  </si>
  <si>
    <t>{E30A.REM.VAR.IBUS.OS._INT.9.1_10_PERCT..VAL}</t>
  </si>
  <si>
    <t>{E30A.REM.ADJ.IBUS.OS._INT.9.1_10_PERCT..NUM}</t>
  </si>
  <si>
    <t>{E30A.REM.ADJ.IBUS.OS._INT.9.1_10_PERCT..VAL}</t>
  </si>
  <si>
    <t>{E30A.REM.IBUS.OS._INT.9.1_10_PERCT.TTL..NUM}</t>
  </si>
  <si>
    <t>{E30A.REM.IBUS.OS._INT.9.1_10_PERCT.TTL..VAL}</t>
  </si>
  <si>
    <t>{E30A.REM.FR.IBUS.OS._INT.10.1_11_PERCT..NUM}</t>
  </si>
  <si>
    <t>{E30A.REM.FR.IBUS.OS._INT.10.1_11_PERCT..VAL}</t>
  </si>
  <si>
    <t>{E30A.REM.VAR.IBUS.OS._INT.10.1_11_PERCT..NUM}</t>
  </si>
  <si>
    <t>{E30A.REM.VAR.IBUS.OS._INT.10.1_11_PERCT..VAL}</t>
  </si>
  <si>
    <t>{E30A.REM.ADJ.IBUS.OS._INT.10.1_11_PERCT..NUM}</t>
  </si>
  <si>
    <t>{E30A.REM.ADJ.IBUS.OS._INT.10.1_11_PERCT..VAL}</t>
  </si>
  <si>
    <t>{E30A.REM.IBUS.OS._INT.10.1_11_PERCT.TTL..NUM}</t>
  </si>
  <si>
    <t>{E30A.REM.IBUS.OS._INT.10.1_11_PERCT.TTL..VAL}</t>
  </si>
  <si>
    <t>{E30A.REM.FR.IBUS.OS._INT.11.1_12_PERCT..NUM}</t>
  </si>
  <si>
    <t>{E30A.REM.FR.IBUS.OS._INT.11.1_12_PERCT..VAL}</t>
  </si>
  <si>
    <t>{E30A.REM.VAR.IBUS.OS._INT.11.1_12_PERCT..NUM}</t>
  </si>
  <si>
    <t>{E30A.REM.VAR.IBUS.OS._INT.11.1_12_PERCT..VAL}</t>
  </si>
  <si>
    <t>{E30A.REM.ADJ.IBUS.OS._INT.11.1_12_PERCT..NUM}</t>
  </si>
  <si>
    <t>{E30A.REM.ADJ.IBUS.OS._INT.11.1_12_PERCT..VAL}</t>
  </si>
  <si>
    <t>{E30A.REM.IBUS.OS._INT.11.1_12_PERCT.TTL..NUM}</t>
  </si>
  <si>
    <t>{E30A.REM.IBUS.OS._INT.11.1_12_PERCT.TTL..VAL}</t>
  </si>
  <si>
    <t>{E30A.REM.FR.IBUS.OS._INT.12.1_13_PERCT..NUM}</t>
  </si>
  <si>
    <t>{E30A.REM.FR.IBUS.OS._INT.12.1_13_PERCT..VAL}</t>
  </si>
  <si>
    <t>{E30A.REM.VAR.IBUS.OS._INT.12.1_13_PERCT..NUM}</t>
  </si>
  <si>
    <t>{E30A.REM.VAR.IBUS.OS._INT.12.1_13_PERCT..VAL}</t>
  </si>
  <si>
    <t>{E30A.REM.ADJ.IBUS.OS._INT.12.1_13_PERCT..NUM}</t>
  </si>
  <si>
    <t>{E30A.REM.ADJ.IBUS.OS._INT.12.1_13_PERCT..VAL}</t>
  </si>
  <si>
    <t>{E30A.REM.IBUS.OS._INT.12.1_13_PERCT.TTL..NUM}</t>
  </si>
  <si>
    <t>{E30A.REM.IBUS.OS._INT.12.1_13_PERCT.TTL..VAL}</t>
  </si>
  <si>
    <t>{E30A.REM.FR.IBUS.OS._INT.13.1_14_PERCT..NUM}</t>
  </si>
  <si>
    <t>{E30A.REM.FR.IBUS.OS._INT.13.1_14_PERCT..VAL}</t>
  </si>
  <si>
    <t>{E30A.REM.VAR.IBUS.OS._INT.13.1_14_PERCT..NUM}</t>
  </si>
  <si>
    <t>{E30A.REM.VAR.IBUS.OS._INT.13.1_14_PERCT..VAL}</t>
  </si>
  <si>
    <t>{E30A.REM.ADJ.IBUS.OS._INT.13.1_14_PERCT..NUM}</t>
  </si>
  <si>
    <t>{E30A.REM.ADJ.IBUS.OS._INT.13.1_14_PERCT..VAL}</t>
  </si>
  <si>
    <t>{E30A.REM.IBUS.OS._INT.13.1_14_PERCT.TTL..NUM}</t>
  </si>
  <si>
    <t>{E30A.REM.IBUS.OS._INT.13.1_14_PERCT.TTL..VAL}</t>
  </si>
  <si>
    <t>{E30A.REM.FR.IBUS.OS._INT.14.1_15_PERCT..NUM}</t>
  </si>
  <si>
    <t>{E30A.REM.FR.IBUS.OS._INT.14.1_15_PERCT..VAL}</t>
  </si>
  <si>
    <t>{E30A.REM.VAR.IBUS.OS._INT.14.1_15_PERCT..NUM}</t>
  </si>
  <si>
    <t>{E30A.REM.VAR.IBUS.OS._INT.14.1_15_PERCT..VAL}</t>
  </si>
  <si>
    <t>{E30A.REM.ADJ.IBUS.OS._INT.14.1_15_PERCT..NUM}</t>
  </si>
  <si>
    <t>{E30A.REM.ADJ.IBUS.OS._INT.14.1_15_PERCT..VAL}</t>
  </si>
  <si>
    <t>{E30A.REM.IBUS.OS._INT.14.1_15_PERCT.TTL..NUM}</t>
  </si>
  <si>
    <t>{E30A.REM.IBUS.OS._INT.14.1_15_PERCT.TTL..VAL}</t>
  </si>
  <si>
    <t>{E30A.REM.FR.IBUS.OS._INT.OVR_15.1_PERCT..NUM}</t>
  </si>
  <si>
    <t>{E30A.REM.FR.IBUS.OS._INT.OVR_15.1_PERCT..VAL}</t>
  </si>
  <si>
    <t>{E30A.REM.VAR.IBUS.OS._INT.OVR_15.1_PERCT..NUM}</t>
  </si>
  <si>
    <t>{E30A.REM.VAR.IBUS.OS._INT.OVR_15.1_PERCT..VAL}</t>
  </si>
  <si>
    <t>{E30A.REM.ADJ.IBUS.OS._INT.OVR_15.1_PERCT..NUM}</t>
  </si>
  <si>
    <t>{E30A.REM.ADJ.IBUS.OS._INT.OVR_15.1_PERCT..VAL}</t>
  </si>
  <si>
    <t>{E30A.REM.IBUS.OS._INT.OVR_15.1_PERCT.TTL..NUM}</t>
  </si>
  <si>
    <t>{E30A.REM.IBUS.OS._INT.OVR_15.1_PERCT.TTL..VAL}</t>
  </si>
  <si>
    <t>{E30A.REM.FR.UIBUS.OS._INT.0_3_PERCT..NUM}</t>
  </si>
  <si>
    <t>{E30A.REM.FR.UIBUS.OS._INT.0_3_PERCT..VAL}</t>
  </si>
  <si>
    <t>{E30A.REM.VAR.UIBUS.OS._INT.0_3_PERCT..NUM}</t>
  </si>
  <si>
    <t>{E30A.REM.VAR.UIBUS.OS._INT.0_3_PERCT..VAL}</t>
  </si>
  <si>
    <t>{E30A.REM.ADJ.UIBUS.OS._INT.0_3_PERCT..NUM}</t>
  </si>
  <si>
    <t>{E30A.REM.ADJ.UIBUS.OS._INT.0_3_PERCT..VAL}</t>
  </si>
  <si>
    <t>{E30A.REM.UIBUS.OS._INT.0_3_PERCT.TTL..NUM}</t>
  </si>
  <si>
    <t>{E30A.REM.UIBUS.OS._INT.0_3_PERCT.TTL..VAL}</t>
  </si>
  <si>
    <t>{E30A.REM.FR.UIBUS.OS._INT.3.1_4_PERCT..NUM}</t>
  </si>
  <si>
    <t>{E30A.REM.FR.UIBUS.OS._INT.3.1_4_PERCT..VAL}</t>
  </si>
  <si>
    <t>{E30A.REM.VAR.UIBUS.OS._INT.3.1_4_PERCT..NUM}</t>
  </si>
  <si>
    <t>{E30A.REM.VAR.UIBUS.OS._INT.3.1_4_PERCT..VAL}</t>
  </si>
  <si>
    <t>{E30A.REM.ADJ.UIBUS.OS._INT.3.1_4_PERCT..NUM}</t>
  </si>
  <si>
    <t>{E30A.REM.ADJ.UIBUS.OS._INT.3.1_4_PERCT..VAL}</t>
  </si>
  <si>
    <t>{E30A.REM.UIBUS.OS._INT.3.1_4_PERCT.TTL..NUM}</t>
  </si>
  <si>
    <t>{E30A.REM.UIBUS.OS._INT.3.1_4_PERCT.TTL..VAL}</t>
  </si>
  <si>
    <t>{E30A.REM.FR.UIBUS.OS._INT.4.1_5_PERCT..NUM}</t>
  </si>
  <si>
    <t>{E30A.REM.FR.UIBUS.OS._INT.4.1_5_PERCT..VAL}</t>
  </si>
  <si>
    <t>{E30A.REM.VAR.UIBUS.OS._INT.4.1_5_PERCT..NUM}</t>
  </si>
  <si>
    <t>{E30A.REM.VAR.UIBUS.OS._INT.4.1_5_PERCT..VAL}</t>
  </si>
  <si>
    <t>{E30A.REM.ADJ.UIBUS.OS._INT.4.1_5_PERCT..NUM}</t>
  </si>
  <si>
    <t>{E30A.REM.ADJ.UIBUS.OS._INT.4.1_5_PERCT..VAL}</t>
  </si>
  <si>
    <t>{E30A.REM.UIBUS.OS._INT.4.1_5_PERCT.TTL..NUM}</t>
  </si>
  <si>
    <t>{E30A.REM.UIBUS.OS._INT.4.1_5_PERCT.TTL..VAL}</t>
  </si>
  <si>
    <t>{E30A.REM.FR.UIBUS.OS._INT.5.1_6_PERCT..NUM}</t>
  </si>
  <si>
    <t>{E30A.REM.FR.UIBUS.OS._INT.5.1_6_PERCT..VAL}</t>
  </si>
  <si>
    <t>{E30A.REM.VAR.UIBUS.OS._INT.5.1_6_PERCT..NUM}</t>
  </si>
  <si>
    <t>{E30A.REM.VAR.UIBUS.OS._INT.5.1_6_PERCT..VAL}</t>
  </si>
  <si>
    <t>{E30A.REM.ADJ.UIBUS.OS._INT.5.1_6_PERCT..NUM}</t>
  </si>
  <si>
    <t>{E30A.REM.ADJ.UIBUS.OS._INT.5.1_6_PERCT..VAL}</t>
  </si>
  <si>
    <t>{E30A.REM.UIBUS.OS._INT.5.1_6_PERCT.TTL..NUM}</t>
  </si>
  <si>
    <t>{E30A.REM.UIBUS.OS._INT.5.1_6_PERCT.TTL..VAL}</t>
  </si>
  <si>
    <t>{E30A.REM.FR.UIBUS.OS._INT.6.1_7_PERCT..NUM}</t>
  </si>
  <si>
    <t>{E30A.REM.FR.UIBUS.OS._INT.6.1_7_PERCT..VAL}</t>
  </si>
  <si>
    <t>{E30A.REM.VAR.UIBUS.OS._INT.6.1_7_PERCT..NUM}</t>
  </si>
  <si>
    <t>{E30A.REM.VAR.UIBUS.OS._INT.6.1_7_PERCT..VAL}</t>
  </si>
  <si>
    <t>{E30A.REM.ADJ.UIBUS.OS._INT.6.1_7_PERCT..NUM}</t>
  </si>
  <si>
    <t>{E30A.REM.ADJ.UIBUS.OS._INT.6.1_7_PERCT..VAL}</t>
  </si>
  <si>
    <t>{E30A.REM.UIBUS.OS._INT.6.1_7_PERCT.TTL..NUM}</t>
  </si>
  <si>
    <t>{E30A.REM.UIBUS.OS._INT.6.1_7_PERCT.TTL..VAL}</t>
  </si>
  <si>
    <t>{E30A.REM.FR.UIBUS.OS._INT.7.1_8_PERCT..NUM}</t>
  </si>
  <si>
    <t>{E30A.REM.FR.UIBUS.OS._INT.7.1_8_PERCT..VAL}</t>
  </si>
  <si>
    <t>{E30A.REM.VAR.UIBUS.OS._INT.7.1_8_PERCT..NUM}</t>
  </si>
  <si>
    <t>{E30A.REM.VAR.UIBUS.OS._INT.7.1_8_PERCT..VAL}</t>
  </si>
  <si>
    <t>{E30A.REM.ADJ.UIBUS.OS._INT.7.1_8_PERCT..NUM}</t>
  </si>
  <si>
    <t>{E30A.REM.ADJ.UIBUS.OS._INT.7.1_8_PERCT..VAL}</t>
  </si>
  <si>
    <t>{E30A.REM.UIBUS.OS._INT.7.1_8_PERCT.TTL..NUM}</t>
  </si>
  <si>
    <t>{E30A.REM.UIBUS.OS._INT.7.1_8_PERCT.TTL..VAL}</t>
  </si>
  <si>
    <t>{E30A.REM.FR.UIBUS.OS._INT.8.1_9_PERCT..NUM}</t>
  </si>
  <si>
    <t>{E30A.REM.FR.UIBUS.OS._INT.8.1_9_PERCT..VAL}</t>
  </si>
  <si>
    <t>{E30A.REM.VAR.UIBUS.OS._INT.8.1_9_PERCT..NUM}</t>
  </si>
  <si>
    <t>{E30A.REM.VAR.UIBUS.OS._INT.8.1_9_PERCT..VAL}</t>
  </si>
  <si>
    <t>{E30A.REM.ADJ.UIBUS.OS._INT.8.1_9_PERCT..NUM}</t>
  </si>
  <si>
    <t>{E30A.REM.ADJ.UIBUS.OS._INT.8.1_9_PERCT..VAL}</t>
  </si>
  <si>
    <t>{E30A.REM.UIBUS.OS._INT.8.1_9_PERCT.TTL..NUM}</t>
  </si>
  <si>
    <t>{E30A.REM.UIBUS.OS._INT.8.1_9_PERCT.TTL..VAL}</t>
  </si>
  <si>
    <t>{E30A.REM.FR.UIBUS.OS._INT.9.1_10_PERCT..NUM}</t>
  </si>
  <si>
    <t>{E30A.REM.FR.UIBUS.OS._INT.9.1_10_PERCT..VAL}</t>
  </si>
  <si>
    <t>{E30A.REM.VAR.UIBUS.OS._INT.9.1_10_PERCT..NUM}</t>
  </si>
  <si>
    <t>{E30A.REM.VAR.UIBUS.OS._INT.9.1_10_PERCT..VAL}</t>
  </si>
  <si>
    <t>{E30A.REM.ADJ.UIBUS.OS._INT.9.1_10_PERCT..NUM}</t>
  </si>
  <si>
    <t>{E30A.REM.ADJ.UIBUS.OS._INT.9.1_10_PERCT..VAL}</t>
  </si>
  <si>
    <t>{E30A.REM.UIBUS.OS._INT.9.1_10_PERCT.TTL..NUM}</t>
  </si>
  <si>
    <t>{E30A.REM.UIBUS.OS._INT.9.1_10_PERCT.TTL..VAL}</t>
  </si>
  <si>
    <t>{E30A.REM.FR.UIBUS.OS._INT.10.1_11_PERCT..NUM}</t>
  </si>
  <si>
    <t>{E30A.REM.FR.UIBUS.OS._INT.10.1_11_PERCT..VAL}</t>
  </si>
  <si>
    <t>{E30A.REM.VAR.UIBUS.OS._INT.10.1_11_PERCT..NUM}</t>
  </si>
  <si>
    <t>{E30A.REM.VAR.UIBUS.OS._INT.10.1_11_PERCT..VAL}</t>
  </si>
  <si>
    <t>{E30A.REM.ADJ.UIBUS.OS._INT.10.1_11_PERCT..NUM}</t>
  </si>
  <si>
    <t>{E30A.REM.ADJ.UIBUS.OS._INT.10.1_11_PERCT..VAL}</t>
  </si>
  <si>
    <t>{E30A.REM.UIBUS.OS._INT.10.1_11_PERCT.TTL..NUM}</t>
  </si>
  <si>
    <t>{E30A.REM.UIBUS.OS._INT.10.1_11_PERCT.TTL..VAL}</t>
  </si>
  <si>
    <t>{E30A.REM.FR.UIBUS.OS._INT.11.1_12_PERCT..NUM}</t>
  </si>
  <si>
    <t>{E30A.REM.FR.UIBUS.OS._INT.11.1_12_PERCT..VAL}</t>
  </si>
  <si>
    <t>{E30A.REM.VAR.UIBUS.OS._INT.11.1_12_PERCT..NUM}</t>
  </si>
  <si>
    <t>{E30A.REM.VAR.UIBUS.OS._INT.11.1_12_PERCT..VAL}</t>
  </si>
  <si>
    <t>{E30A.REM.ADJ.UIBUS.OS._INT.11.1_12_PERCT..NUM}</t>
  </si>
  <si>
    <t>{E30A.REM.ADJ.UIBUS.OS._INT.11.1_12_PERCT..VAL}</t>
  </si>
  <si>
    <t>{E30A.REM.UIBUS.OS._INT.11.1_12_PERCT.TTL..NUM}</t>
  </si>
  <si>
    <t>{E30A.REM.UIBUS.OS._INT.11.1_12_PERCT.TTL..VAL}</t>
  </si>
  <si>
    <t>{E30A.REM.FR.UIBUS.OS._INT.12.1_13_PERCT..NUM}</t>
  </si>
  <si>
    <t>{E30A.REM.FR.UIBUS.OS._INT.12.1_13_PERCT..VAL}</t>
  </si>
  <si>
    <t>{E30A.REM.VAR.UIBUS.OS._INT.12.1_13_PERCT..NUM}</t>
  </si>
  <si>
    <t>{E30A.REM.VAR.UIBUS.OS._INT.12.1_13_PERCT..VAL}</t>
  </si>
  <si>
    <t>{E30A.REM.ADJ.UIBUS.OS._INT.12.1_13_PERCT..NUM}</t>
  </si>
  <si>
    <t>{E30A.REM.ADJ.UIBUS.OS._INT.12.1_13_PERCT..VAL}</t>
  </si>
  <si>
    <t>{E30A.REM.UIBUS.OS._INT.12.1_13_PERCT.TTL..NUM}</t>
  </si>
  <si>
    <t>{E30A.REM.UIBUS.OS._INT.12.1_13_PERCT.TTL..VAL}</t>
  </si>
  <si>
    <t>{E30A.REM.FR.UIBUS.OS._INT.13.1_14_PERCT..NUM}</t>
  </si>
  <si>
    <t>{E30A.REM.FR.UIBUS.OS._INT.13.1_14_PERCT..VAL}</t>
  </si>
  <si>
    <t>{E30A.REM.VAR.UIBUS.OS._INT.13.1_14_PERCT..NUM}</t>
  </si>
  <si>
    <t>{E30A.REM.VAR.UIBUS.OS._INT.13.1_14_PERCT..VAL}</t>
  </si>
  <si>
    <t>{E30A.REM.ADJ.UIBUS.OS._INT.13.1_14_PERCT..NUM}</t>
  </si>
  <si>
    <t>{E30A.REM.ADJ.UIBUS.OS._INT.13.1_14_PERCT..VAL}</t>
  </si>
  <si>
    <t>{E30A.REM.UIBUS.OS._INT.13.1_14_PERCT.TTL..NUM}</t>
  </si>
  <si>
    <t>{E30A.REM.UIBUS.OS._INT.13.1_14_PERCT.TTL..VAL}</t>
  </si>
  <si>
    <t>{E30A.REM.FR.UIBUS.OS._INT.14.1_15_PERCT..NUM}</t>
  </si>
  <si>
    <t>{E30A.REM.FR.UIBUS.OS._INT.14.1_15_PERCT..VAL}</t>
  </si>
  <si>
    <t>{E30A.REM.VAR.UIBUS.OS._INT.14.1_15_PERCT..NUM}</t>
  </si>
  <si>
    <t>{E30A.REM.VAR.UIBUS.OS._INT.14.1_15_PERCT..VAL}</t>
  </si>
  <si>
    <t>{E30A.REM.ADJ.UIBUS.OS._INT.14.1_15_PERCT..NUM}</t>
  </si>
  <si>
    <t>{E30A.REM.ADJ.UIBUS.OS._INT.14.1_15_PERCT..VAL}</t>
  </si>
  <si>
    <t>{E30A.REM.UIBUS.OS._INT.14.1_15_PERCT.TTL..NUM}</t>
  </si>
  <si>
    <t>{E30A.REM.UIBUS.OS._INT.14.1_15_PERCT.TTL..VAL}</t>
  </si>
  <si>
    <t>{E30A.REM.FR.UIBUS.OS._INT.OVR_15.1_PERCT..NUM}</t>
  </si>
  <si>
    <t>{E30A.REM.FR.UIBUS.OS._INT.OVR_15.1_PERCT..VAL}</t>
  </si>
  <si>
    <t>{E30A.REM.VAR.UIBUS.OS._INT.OVR_15.1_PERCT..NUM}</t>
  </si>
  <si>
    <t>{E30A.REM.VAR.UIBUS.OS._INT.OVR_15.1_PERCT..VAL}</t>
  </si>
  <si>
    <t>{E30A.REM.ADJ.UIBUS.OS._INT.OVR_15.1_PERCT..NUM}</t>
  </si>
  <si>
    <t>{E30A.REM.ADJ.UIBUS.OS._INT.OVR_15.1_PERCT..VAL}</t>
  </si>
  <si>
    <t>{E30A.REM.UIBUS.OS._INT.OVR_15.1_PERCT.TTL..NUM}</t>
  </si>
  <si>
    <t>{E30A.REM.UIBUS.OS._INT.OVR_15.1_PERCT.TTL..VAL}</t>
  </si>
  <si>
    <t>{E30A.REM.FR.CONSM.OS._INT.0_3_PERCT..NUM}</t>
  </si>
  <si>
    <t>{E30A.REM.FR.CONSM.OS._INT.0_3_PERCT..VAL}</t>
  </si>
  <si>
    <t>{E30A.REM.VAR.CONSM.OS._INT.0_3_PERCT..NUM}</t>
  </si>
  <si>
    <t>{E30A.REM.VAR.CONSM.OS._INT.0_3_PERCT..VAL}</t>
  </si>
  <si>
    <t>{E30A.REM.ADJ.CONSM.OS._INT.0_3_PERCT..NUM}</t>
  </si>
  <si>
    <t>{E30A.REM.ADJ.CONSM.OS._INT.0_3_PERCT..VAL}</t>
  </si>
  <si>
    <t>{E30A.REM.CONSM.OS._INT.0_3_PERCT.TTL..NUM}</t>
  </si>
  <si>
    <t>{E30A.REM.CONSM.OS._INT.0_3_PERCT.TTL..VAL}</t>
  </si>
  <si>
    <t>{E30A.REM.FR.CONSM.OS._INT.3.1_4_PERCT..NUM}</t>
  </si>
  <si>
    <t>{E30A.REM.FR.CONSM.OS._INT.3.1_4_PERCT..VAL}</t>
  </si>
  <si>
    <t>{E30A.REM.VAR.CONSM.OS._INT.3.1_4_PERCT..NUM}</t>
  </si>
  <si>
    <t>{E30A.REM.VAR.CONSM.OS._INT.3.1_4_PERCT..VAL}</t>
  </si>
  <si>
    <t>{E30A.REM.ADJ.CONSM.OS._INT.3.1_4_PERCT..NUM}</t>
  </si>
  <si>
    <t>{E30A.REM.ADJ.CONSM.OS._INT.3.1_4_PERCT..VAL}</t>
  </si>
  <si>
    <t>{E30A.REM.CONSM.OS._INT.3.1_4_PERCT.TTL..NUM}</t>
  </si>
  <si>
    <t>{E30A.REM.CONSM.OS._INT.3.1_4_PERCT.TTL..VAL}</t>
  </si>
  <si>
    <t>{E30A.REM.FR.CONSM.OS._INT.4.1_5_PERCT..NUM}</t>
  </si>
  <si>
    <t>{E30A.REM.FR.CONSM.OS._INT.4.1_5_PERCT..VAL}</t>
  </si>
  <si>
    <t>{E30A.REM.VAR.CONSM.OS._INT.4.1_5_PERCT..NUM}</t>
  </si>
  <si>
    <t>{E30A.REM.VAR.CONSM.OS._INT.4.1_5_PERCT..VAL}</t>
  </si>
  <si>
    <t>{E30A.REM.ADJ.CONSM.OS._INT.4.1_5_PERCT..NUM}</t>
  </si>
  <si>
    <t>{E30A.REM.ADJ.CONSM.OS._INT.4.1_5_PERCT..VAL}</t>
  </si>
  <si>
    <t>{E30A.REM.CONSM.OS._INT.4.1_5_PERCT.TTL..NUM}</t>
  </si>
  <si>
    <t>{E30A.REM.CONSM.OS._INT.4.1_5_PERCT.TTL..VAL}</t>
  </si>
  <si>
    <t>{E30A.REM.FR.CONSM.OS._INT.5.1_6_PERCT..NUM}</t>
  </si>
  <si>
    <t>{E30A.REM.FR.CONSM.OS._INT.5.1_6_PERCT..VAL}</t>
  </si>
  <si>
    <t>{E30A.REM.VAR.CONSM.OS._INT.5.1_6_PERCT..NUM}</t>
  </si>
  <si>
    <t>{E30A.REM.VAR.CONSM.OS._INT.5.1_6_PERCT..VAL}</t>
  </si>
  <si>
    <t>{E30A.REM.ADJ.CONSM.OS._INT.5.1_6_PERCT..NUM}</t>
  </si>
  <si>
    <t>{E30A.REM.ADJ.CONSM.OS._INT.5.1_6_PERCT..VAL}</t>
  </si>
  <si>
    <t>{E30A.REM.CONSM.OS._INT.5.1_6_PERCT.TTL..NUM}</t>
  </si>
  <si>
    <t>{E30A.REM.CONSM.OS._INT.5.1_6_PERCT.TTL..VAL}</t>
  </si>
  <si>
    <t>{E30A.REM.FR.CONSM.OS._INT.6.1_7_PERCT..NUM}</t>
  </si>
  <si>
    <t>{E30A.REM.FR.CONSM.OS._INT.6.1_7_PERCT..VAL}</t>
  </si>
  <si>
    <t>{E30A.REM.VAR.CONSM.OS._INT.6.1_7_PERCT..NUM}</t>
  </si>
  <si>
    <t>{E30A.REM.VAR.CONSM.OS._INT.6.1_7_PERCT..VAL}</t>
  </si>
  <si>
    <t>{E30A.REM.ADJ.CONSM.OS._INT.6.1_7_PERCT..NUM}</t>
  </si>
  <si>
    <t>{E30A.REM.ADJ.CONSM.OS._INT.6.1_7_PERCT..VAL}</t>
  </si>
  <si>
    <t>{E30A.REM.CONSM.OS._INT.6.1_7_PERCT.TTL..NUM}</t>
  </si>
  <si>
    <t>{E30A.REM.CONSM.OS._INT.6.1_7_PERCT.TTL..VAL}</t>
  </si>
  <si>
    <t>{E30A.REM.FR.CONSM.OS._INT.7.1_8_PERCT..NUM}</t>
  </si>
  <si>
    <t>{E30A.REM.FR.CONSM.OS._INT.7.1_8_PERCT..VAL}</t>
  </si>
  <si>
    <t>{E30A.REM.VAR.CONSM.OS._INT.7.1_8_PERCT..NUM}</t>
  </si>
  <si>
    <t>{E30A.REM.VAR.CONSM.OS._INT.7.1_8_PERCT..VAL}</t>
  </si>
  <si>
    <t>{E30A.REM.ADJ.CONSM.OS._INT.7.1_8_PERCT..NUM}</t>
  </si>
  <si>
    <t>{E30A.REM.ADJ.CONSM.OS._INT.7.1_8_PERCT..VAL}</t>
  </si>
  <si>
    <t>{E30A.REM.CONSM.OS._INT.7.1_8_PERCT.TTL..NUM}</t>
  </si>
  <si>
    <t>{E30A.REM.CONSM.OS._INT.7.1_8_PERCT.TTL..VAL}</t>
  </si>
  <si>
    <t>{E30A.REM.FR.CONSM.OS._INT.8.1_9_PERCT..NUM}</t>
  </si>
  <si>
    <t>{E30A.REM.FR.CONSM.OS._INT.8.1_9_PERCT..VAL}</t>
  </si>
  <si>
    <t>{E30A.REM.VAR.CONSM.OS._INT.8.1_9_PERCT..NUM}</t>
  </si>
  <si>
    <t>{E30A.REM.VAR.CONSM.OS._INT.8.1_9_PERCT..VAL}</t>
  </si>
  <si>
    <t>{E30A.REM.ADJ.CONSM.OS._INT.8.1_9_PERCT..NUM}</t>
  </si>
  <si>
    <t>{E30A.REM.ADJ.CONSM.OS._INT.8.1_9_PERCT..VAL}</t>
  </si>
  <si>
    <t>{E30A.REM.CONSM.OS._INT.8.1_9_PERCT.TTL..NUM}</t>
  </si>
  <si>
    <t>{E30A.REM.CONSM.OS._INT.8.1_9_PERCT.TTL..VAL}</t>
  </si>
  <si>
    <t>{E30A.REM.FR.CONSM.OS._INT.9.1_10_PERCT..NUM}</t>
  </si>
  <si>
    <t>{E30A.REM.FR.CONSM.OS._INT.9.1_10_PERCT..VAL}</t>
  </si>
  <si>
    <t>{E30A.REM.VAR.CONSM.OS._INT.9.1_10_PERCT..NUM}</t>
  </si>
  <si>
    <t>{E30A.REM.VAR.CONSM.OS._INT.9.1_10_PERCT..VAL}</t>
  </si>
  <si>
    <t>{E30A.REM.ADJ.CONSM.OS._INT.9.1_10_PERCT..NUM}</t>
  </si>
  <si>
    <t>{E30A.REM.ADJ.CONSM.OS._INT.9.1_10_PERCT..VAL}</t>
  </si>
  <si>
    <t>{E30A.REM.CONSM.OS._INT.9.1_10_PERCT.TTL..NUM}</t>
  </si>
  <si>
    <t>{E30A.REM.CONSM.OS._INT.9.1_10_PERCT.TTL..VAL}</t>
  </si>
  <si>
    <t>{E30A.REM.FR.CONSM.OS._INT.10.1_11_PERCT..NUM}</t>
  </si>
  <si>
    <t>{E30A.REM.FR.CONSM.OS._INT.10.1_11_PERCT..VAL}</t>
  </si>
  <si>
    <t>{E30A.REM.VAR.CONSM.OS._INT.10.1_11_PERCT..NUM}</t>
  </si>
  <si>
    <t>{E30A.REM.VAR.CONSM.OS._INT.10.1_11_PERCT..VAL}</t>
  </si>
  <si>
    <t>{E30A.REM.ADJ.CONSM.OS._INT.10.1_11_PERCT..NUM}</t>
  </si>
  <si>
    <t>{E30A.REM.ADJ.CONSM.OS._INT.10.1_11_PERCT..VAL}</t>
  </si>
  <si>
    <t>{E30A.REM.CONSM.OS._INT.10.1_11_PERCT.TTL..NUM}</t>
  </si>
  <si>
    <t>{E30A.REM.CONSM.OS._INT.10.1_11_PERCT.TTL..VAL}</t>
  </si>
  <si>
    <t>{E30A.REM.FR.CONSM.OS._INT.11.1_12_PERCT..NUM}</t>
  </si>
  <si>
    <t>{E30A.REM.FR.CONSM.OS._INT.11.1_12_PERCT..VAL}</t>
  </si>
  <si>
    <t>{E30A.REM.VAR.CONSM.OS._INT.11.1_12_PERCT..NUM}</t>
  </si>
  <si>
    <t>{E30A.REM.VAR.CONSM.OS._INT.11.1_12_PERCT..VAL}</t>
  </si>
  <si>
    <t>{E30A.REM.ADJ.CONSM.OS._INT.11.1_12_PERCT..NUM}</t>
  </si>
  <si>
    <t>{E30A.REM.ADJ.CONSM.OS._INT.11.1_12_PERCT..VAL}</t>
  </si>
  <si>
    <t>{E30A.REM.CONSM.OS._INT.11.1_12_PERCT.TTL..NUM}</t>
  </si>
  <si>
    <t>{E30A.REM.CONSM.OS._INT.11.1_12_PERCT.TTL..VAL}</t>
  </si>
  <si>
    <t>{E30A.REM.FR.CONSM.OS._INT.12.1_13_PERCT..NUM}</t>
  </si>
  <si>
    <t>{E30A.REM.FR.CONSM.OS._INT.12.1_13_PERCT..VAL}</t>
  </si>
  <si>
    <t>{E30A.REM.VAR.CONSM.OS._INT.12.1_13_PERCT..NUM}</t>
  </si>
  <si>
    <t>{E30A.REM.VAR.CONSM.OS._INT.12.1_13_PERCT..VAL}</t>
  </si>
  <si>
    <t>{E30A.REM.ADJ.CONSM.OS._INT.12.1_13_PERCT..NUM}</t>
  </si>
  <si>
    <t>{E30A.REM.ADJ.CONSM.OS._INT.12.1_13_PERCT..VAL}</t>
  </si>
  <si>
    <t>{E30A.REM.CONSM.OS._INT.12.1_13_PERCT.TTL..NUM}</t>
  </si>
  <si>
    <t>{E30A.REM.CONSM.OS._INT.12.1_13_PERCT.TTL..VAL}</t>
  </si>
  <si>
    <t>{E30A.REM.FR.CONSM.OS._INT.13.1_14_PERCT..NUM}</t>
  </si>
  <si>
    <t>{E30A.REM.FR.CONSM.OS._INT.13.1_14_PERCT..VAL}</t>
  </si>
  <si>
    <t>{E30A.REM.VAR.CONSM.OS._INT.13.1_14_PERCT..NUM}</t>
  </si>
  <si>
    <t>{E30A.REM.VAR.CONSM.OS._INT.13.1_14_PERCT..VAL}</t>
  </si>
  <si>
    <t>{E30A.REM.ADJ.CONSM.OS._INT.13.1_14_PERCT..NUM}</t>
  </si>
  <si>
    <t>{E30A.REM.ADJ.CONSM.OS._INT.13.1_14_PERCT..VAL}</t>
  </si>
  <si>
    <t>{E30A.REM.CONSM.OS._INT.13.1_14_PERCT.TTL..NUM}</t>
  </si>
  <si>
    <t>{E30A.REM.CONSM.OS._INT.13.1_14_PERCT.TTL..VAL}</t>
  </si>
  <si>
    <t>{E30A.REM.FR.CONSM.OS._INT.14.1_15_PERCT..NUM}</t>
  </si>
  <si>
    <t>{E30A.REM.FR.CONSM.OS._INT.14.1_15_PERCT..VAL}</t>
  </si>
  <si>
    <t>{E30A.REM.VAR.CONSM.OS._INT.14.1_15_PERCT..NUM}</t>
  </si>
  <si>
    <t>{E30A.REM.VAR.CONSM.OS._INT.14.1_15_PERCT..VAL}</t>
  </si>
  <si>
    <t>{E30A.REM.ADJ.CONSM.OS._INT.14.1_15_PERCT..NUM}</t>
  </si>
  <si>
    <t>{E30A.REM.ADJ.CONSM.OS._INT.14.1_15_PERCT..VAL}</t>
  </si>
  <si>
    <t>{E30A.REM.CONSM.OS._INT.14.1_15_PERCT.TTL..NUM}</t>
  </si>
  <si>
    <t>{E30A.REM.CONSM.OS._INT.14.1_15_PERCT.TTL..VAL}</t>
  </si>
  <si>
    <t>{E30A.REM.FR.CONSM.OS._INT.OVR_15.1_PERCT..NUM}</t>
  </si>
  <si>
    <t>{E30A.REM.FR.CONSM.OS._INT.OVR_15.1_PERCT..VAL}</t>
  </si>
  <si>
    <t>{E30A.REM.VAR.CONSM.OS._INT.OVR_15.1_PERCT..NUM}</t>
  </si>
  <si>
    <t>{E30A.REM.VAR.CONSM.OS._INT.OVR_15.1_PERCT..VAL}</t>
  </si>
  <si>
    <t>{E30A.REM.ADJ.CONSM.OS._INT.OVR_15.1_PERCT..NUM}</t>
  </si>
  <si>
    <t>{E30A.REM.ADJ.CONSM.OS._INT.OVR_15.1_PERCT..VAL}</t>
  </si>
  <si>
    <t>{E30A.REM.CONSM.OS._INT.OVR_15.1_PERCT.TTL..NUM}</t>
  </si>
  <si>
    <t>{E30A.REM.CONSM.OS._INT.OVR_15.1_PERCT.TTL..VAL}</t>
  </si>
  <si>
    <t>{E30A.REM.FR.OS.TTL.NUM}</t>
  </si>
  <si>
    <t>{E30A.REM.FR.OS.TTL.VAL}</t>
  </si>
  <si>
    <t>{E30A.REM.VAR.OS.TTL.NUM}</t>
  </si>
  <si>
    <t>{E30A.REM.VAR.OS.TTL.VAL}</t>
  </si>
  <si>
    <t>{E30A.REM.ADJ.OS.TTL.NUM}</t>
  </si>
  <si>
    <t>{E30A.REM.ADJ.OS.TTL.VAL}</t>
  </si>
  <si>
    <t>NUM</t>
  </si>
  <si>
    <t>VAL</t>
  </si>
  <si>
    <t>cb30A</t>
  </si>
  <si>
    <t>Maximum Period(30Yrs)</t>
  </si>
  <si>
    <t>{E30A.REM.OS.TTL.pg6.NUM}</t>
  </si>
  <si>
    <t>{E30A.REM.OS.TTL.pg6.VAL}</t>
  </si>
  <si>
    <t>C.B. 30A/5</t>
  </si>
  <si>
    <t>REAL ESTATE MORTGAGE LOANS GRANTED/DISBURSED QUARTERLY</t>
  </si>
  <si>
    <t xml:space="preserve">3.1%  4.0% </t>
  </si>
  <si>
    <t xml:space="preserve">4.1%  5.0% </t>
  </si>
  <si>
    <t xml:space="preserve">5.1%  6.0% </t>
  </si>
  <si>
    <t>6.1%  7.0%</t>
  </si>
  <si>
    <t>7.1%  8.0%</t>
  </si>
  <si>
    <t>8.1%  9.0%</t>
  </si>
  <si>
    <t>9.1%  10.0%</t>
  </si>
  <si>
    <t>10.1%  11.0%</t>
  </si>
  <si>
    <t>11.1%  12.0%</t>
  </si>
  <si>
    <t>12.1%  13.0%</t>
  </si>
  <si>
    <t>13.1%  14.0%</t>
  </si>
  <si>
    <t>14.1%  15.0%</t>
  </si>
  <si>
    <t xml:space="preserve">  Select Institution</t>
  </si>
  <si>
    <t>xxxx</t>
  </si>
  <si>
    <t>bbda</t>
  </si>
  <si>
    <t>bns</t>
  </si>
  <si>
    <t>citi</t>
  </si>
  <si>
    <t>cmbl</t>
  </si>
  <si>
    <t>fcib</t>
  </si>
  <si>
    <t>fcb</t>
  </si>
  <si>
    <t>icbl</t>
  </si>
  <si>
    <t>rmbf</t>
  </si>
  <si>
    <t>rbtt</t>
  </si>
  <si>
    <t>Republic Bank Limited</t>
  </si>
  <si>
    <t>rbl</t>
  </si>
  <si>
    <t>INSTITUTION:</t>
  </si>
  <si>
    <t>C.B. 30A/1</t>
  </si>
  <si>
    <t>REAL ESTATE MORTGAGE LOANS  QUARTERLY</t>
  </si>
  <si>
    <t xml:space="preserve"> A. CHANGES  SECTOR AND SIZE</t>
  </si>
  <si>
    <t>$450,001  $750,000</t>
  </si>
  <si>
    <t>$750,001  $1,000,000</t>
  </si>
  <si>
    <t>$1,000,001  $1,250,000</t>
  </si>
  <si>
    <t>$1,250,001  $1,500,000</t>
  </si>
  <si>
    <t>$1,500,001  $1,750,000</t>
  </si>
  <si>
    <t>$1,750,001  $2,000,000</t>
  </si>
  <si>
    <t>$2,000,001  $2,250,000</t>
  </si>
  <si>
    <t>$2,250,001  $2,500,000</t>
  </si>
  <si>
    <t>$2,500,001  $2,750,000</t>
  </si>
  <si>
    <t>$2,750,001  $3,000,000</t>
  </si>
  <si>
    <t>C.B. 30A/2</t>
  </si>
  <si>
    <t xml:space="preserve">  A. CHANGES  SECTOR AND ACCORDING TO INTEREST RATE </t>
  </si>
  <si>
    <t>C.B. 30A/3</t>
  </si>
  <si>
    <t xml:space="preserve">  A. CHANGES  PROPERTY TYPE AND ACCORDING TO INTEREST RATE </t>
  </si>
  <si>
    <t>SUBT O T A L</t>
  </si>
  <si>
    <t>C.B. 30A/8</t>
  </si>
  <si>
    <t>INTEREST RATE SCHEDULE  REAL ESTATE MORTGAGE LOANS  QUARTERLY</t>
  </si>
  <si>
    <t>E.  ACTUAL LOAN RATES  SECTOR AND TYPE</t>
  </si>
  <si>
    <t>C.B. 30A/6</t>
  </si>
  <si>
    <t>OUTSTANDING REAL ESTATE MORTGAGES  QUARTERLY</t>
  </si>
  <si>
    <t xml:space="preserve">5.1%  6% </t>
  </si>
  <si>
    <t xml:space="preserve">3.1%  4% </t>
  </si>
  <si>
    <t xml:space="preserve">4.1%  5% </t>
  </si>
  <si>
    <t>months</t>
  </si>
  <si>
    <t>days</t>
  </si>
  <si>
    <t>years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</si>
  <si>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</si>
  <si>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</si>
  <si>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</si>
  <si>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</si>
  <si>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</si>
  <si>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</si>
  <si>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</si>
  <si>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</si>
  <si>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</si>
  <si>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</si>
  <si>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</si>
  <si>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</si>
  <si>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amal</t>
  </si>
  <si>
    <t>Caribbean Finance Company Limited</t>
  </si>
  <si>
    <t>cfc</t>
  </si>
  <si>
    <t>Fidelity Finance and Leasing Company Limited</t>
  </si>
  <si>
    <t>ffl</t>
  </si>
  <si>
    <t>Development Finance Limited</t>
  </si>
  <si>
    <t>dfl</t>
  </si>
  <si>
    <t>isfl</t>
  </si>
  <si>
    <t>rbam</t>
  </si>
  <si>
    <t>gam</t>
  </si>
  <si>
    <t>tfl</t>
  </si>
  <si>
    <t>First Citizens Trustee Services Limited</t>
  </si>
  <si>
    <t>fcts</t>
  </si>
  <si>
    <t>itmb</t>
  </si>
  <si>
    <t>AVERAGE LOAN-TO-VALUE RATIOS ON NEW MORTGAGES GRANTED (PER CENT NUMBER ONLY). E.G. ratio 10.25% is entered as 10.25</t>
  </si>
  <si>
    <t>hdr</t>
  </si>
  <si>
    <t>3an</t>
  </si>
  <si>
    <t>sect1</t>
  </si>
  <si>
    <t>sect2</t>
  </si>
  <si>
    <t>sect3</t>
  </si>
  <si>
    <t>sect4</t>
  </si>
  <si>
    <t>RATE</t>
  </si>
  <si>
    <t>sect5</t>
  </si>
  <si>
    <t>sect6</t>
  </si>
  <si>
    <t>sect7</t>
  </si>
  <si>
    <t>sect8</t>
  </si>
  <si>
    <t>sect9</t>
  </si>
  <si>
    <t>sect10</t>
  </si>
  <si>
    <t>sect11</t>
  </si>
  <si>
    <t>sect12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</si>
  <si>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</si>
  <si>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</si>
  <si>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</si>
  <si>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</si>
  <si>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</si>
  <si>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</si>
  <si>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</si>
  <si>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</si>
  <si>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</si>
  <si>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JMMB Express Finance (T&amp;T) Limited</t>
  </si>
  <si>
    <t>Bank of Baroda (Trinidad and Tobago) Limited</t>
  </si>
  <si>
    <t>ANSA Merchant Bank Limited</t>
  </si>
  <si>
    <t>Citibank (Trinidad &amp; Tobago) Limited</t>
  </si>
  <si>
    <t>Citicorp Merchant Bank Limited</t>
  </si>
  <si>
    <t>FirstCaribbean International Bank (Trinidad and Tobago) Limited</t>
  </si>
  <si>
    <t>First Citizens Bank Limited</t>
  </si>
  <si>
    <t>Guardian Group Trust Limited</t>
  </si>
  <si>
    <t>JMMB Bank (T&amp;T) Limited</t>
  </si>
  <si>
    <t>Island Finance Trinidad &amp; Tobago Limited</t>
  </si>
  <si>
    <t>RBC Investment Management (Caribbean) Limited</t>
  </si>
  <si>
    <t>RBC Merchant Bank (Caribbean) Limited</t>
  </si>
  <si>
    <t>RBC Royal Bank (Trinidad and Tobago) Limited</t>
  </si>
  <si>
    <t>RBC Trust (Trinidad and Tobago) Limited</t>
  </si>
  <si>
    <t>rbt</t>
  </si>
  <si>
    <t>NCB Global Finance Limited</t>
  </si>
  <si>
    <t>Republic Financial Holdings Limited</t>
  </si>
  <si>
    <t>rfhl</t>
  </si>
  <si>
    <t>Scotiabank Trinidad and Tobago Limited</t>
  </si>
  <si>
    <t>fcmt</t>
  </si>
  <si>
    <t>Scotia Investments (Trinidad and Tobago) Limited</t>
  </si>
  <si>
    <t>sitt</t>
  </si>
  <si>
    <t>Massy Finance GFC Limited</t>
  </si>
  <si>
    <t>gfc</t>
  </si>
  <si>
    <t>First Citizens Depository Services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</si>
</sst>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b/>
      <u/>
      <sz val="8"/>
      <name val="MS Sans Serif"/>
      <family val="2"/>
    </font>
    <font>
      <b/>
      <sz val="8"/>
      <name val="MS Sans Serif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b/>
      <sz val="18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i/>
      <sz val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5" fillId="0" borderId="0"/>
    <xf numFmtId="0" fontId="1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13">
    <xf numFmtId="0" fontId="0" fillId="0" borderId="0" xfId="0"/>
    <xf numFmtId="0" fontId="3" fillId="0" borderId="0" xfId="0" applyFont="1" applyAlignment="1"/>
    <xf numFmtId="0" fontId="0" fillId="0" borderId="0" xfId="0" applyBorder="1"/>
    <xf numFmtId="0" fontId="3" fillId="0" borderId="0" xfId="3" applyFont="1"/>
    <xf numFmtId="0" fontId="2" fillId="0" borderId="0" xfId="3"/>
    <xf numFmtId="0" fontId="2" fillId="0" borderId="0" xfId="3" applyBorder="1"/>
    <xf numFmtId="0" fontId="9" fillId="0" borderId="0" xfId="4" applyBorder="1"/>
    <xf numFmtId="0" fontId="9" fillId="0" borderId="0" xfId="4" applyFont="1" applyBorder="1"/>
    <xf numFmtId="0" fontId="9" fillId="0" borderId="0" xfId="4" applyFont="1"/>
    <xf numFmtId="0" fontId="9" fillId="0" borderId="0" xfId="4"/>
    <xf numFmtId="0" fontId="8" fillId="0" borderId="0" xfId="4" applyFont="1" applyBorder="1" applyAlignment="1">
      <alignment horizontal="center"/>
    </xf>
    <xf numFmtId="0" fontId="3" fillId="0" borderId="0" xfId="4" applyFont="1" applyBorder="1" applyAlignment="1"/>
    <xf numFmtId="0" fontId="8" fillId="0" borderId="1" xfId="4" applyFont="1" applyBorder="1" applyAlignment="1">
      <alignment horizontal="center"/>
    </xf>
    <xf numFmtId="0" fontId="3" fillId="0" borderId="0" xfId="4" applyFont="1" applyBorder="1" applyAlignment="1">
      <alignment horizontal="centerContinuous"/>
    </xf>
    <xf numFmtId="0" fontId="6" fillId="0" borderId="0" xfId="4" applyFont="1" applyBorder="1" applyAlignment="1">
      <alignment horizontal="center"/>
    </xf>
    <xf numFmtId="0" fontId="3" fillId="0" borderId="0" xfId="4" applyFont="1" applyBorder="1"/>
    <xf numFmtId="0" fontId="8" fillId="0" borderId="0" xfId="4" quotePrefix="1" applyFont="1" applyBorder="1" applyAlignment="1">
      <alignment horizontal="center"/>
    </xf>
    <xf numFmtId="0" fontId="8" fillId="0" borderId="0" xfId="4" applyFont="1" applyBorder="1" applyAlignment="1"/>
    <xf numFmtId="0" fontId="6" fillId="0" borderId="0" xfId="4" applyFont="1" applyBorder="1" applyAlignment="1">
      <alignment horizontal="centerContinuous"/>
    </xf>
    <xf numFmtId="0" fontId="7" fillId="0" borderId="0" xfId="4" applyFont="1" applyBorder="1" applyAlignment="1">
      <alignment horizontal="center"/>
    </xf>
    <xf numFmtId="0" fontId="9" fillId="0" borderId="0" xfId="4" applyBorder="1" applyAlignment="1">
      <alignment horizontal="centerContinuous"/>
    </xf>
    <xf numFmtId="0" fontId="8" fillId="0" borderId="0" xfId="4" applyFont="1" applyBorder="1" applyAlignment="1">
      <alignment horizontal="centerContinuous"/>
    </xf>
    <xf numFmtId="0" fontId="3" fillId="0" borderId="0" xfId="3" applyFont="1" applyAlignment="1">
      <alignment horizontal="right"/>
    </xf>
    <xf numFmtId="0" fontId="5" fillId="0" borderId="0" xfId="3" applyFont="1" applyAlignment="1">
      <alignment horizontal="centerContinuous"/>
    </xf>
    <xf numFmtId="0" fontId="3" fillId="0" borderId="0" xfId="3" applyFont="1" applyAlignment="1"/>
    <xf numFmtId="0" fontId="6" fillId="0" borderId="0" xfId="3" applyFont="1"/>
    <xf numFmtId="0" fontId="4" fillId="0" borderId="0" xfId="3" applyFont="1" applyAlignment="1">
      <alignment horizontal="centerContinuous"/>
    </xf>
    <xf numFmtId="0" fontId="3" fillId="0" borderId="2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/>
    <xf numFmtId="0" fontId="3" fillId="0" borderId="5" xfId="3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6" xfId="3" applyFont="1" applyBorder="1" applyAlignment="1">
      <alignment horizontal="centerContinuous"/>
    </xf>
    <xf numFmtId="0" fontId="3" fillId="0" borderId="5" xfId="3" applyFont="1" applyBorder="1"/>
    <xf numFmtId="0" fontId="3" fillId="0" borderId="0" xfId="3" applyFont="1" applyBorder="1"/>
    <xf numFmtId="0" fontId="3" fillId="0" borderId="6" xfId="3" applyFont="1" applyBorder="1"/>
    <xf numFmtId="0" fontId="6" fillId="0" borderId="5" xfId="3" applyFont="1" applyBorder="1" applyAlignment="1">
      <alignment horizontal="right"/>
    </xf>
    <xf numFmtId="0" fontId="6" fillId="0" borderId="0" xfId="3" applyFont="1" applyBorder="1"/>
    <xf numFmtId="0" fontId="6" fillId="0" borderId="0" xfId="3" applyFont="1" applyBorder="1" applyAlignment="1">
      <alignment horizontal="left"/>
    </xf>
    <xf numFmtId="0" fontId="6" fillId="0" borderId="5" xfId="3" quotePrefix="1" applyFont="1" applyBorder="1" applyAlignment="1">
      <alignment horizontal="right"/>
    </xf>
    <xf numFmtId="0" fontId="3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/>
    </xf>
    <xf numFmtId="0" fontId="6" fillId="0" borderId="5" xfId="3" applyFont="1" applyBorder="1"/>
    <xf numFmtId="0" fontId="6" fillId="0" borderId="0" xfId="3" quotePrefix="1" applyFont="1" applyBorder="1" applyAlignment="1">
      <alignment horizontal="center"/>
    </xf>
    <xf numFmtId="0" fontId="6" fillId="0" borderId="0" xfId="3" quotePrefix="1" applyFont="1" applyBorder="1" applyAlignment="1">
      <alignment horizontal="left"/>
    </xf>
    <xf numFmtId="0" fontId="6" fillId="0" borderId="6" xfId="3" quotePrefix="1" applyFont="1" applyBorder="1" applyAlignment="1">
      <alignment horizontal="center"/>
    </xf>
    <xf numFmtId="0" fontId="6" fillId="0" borderId="6" xfId="3" applyFont="1" applyBorder="1" applyAlignment="1">
      <alignment horizontal="left"/>
    </xf>
    <xf numFmtId="0" fontId="10" fillId="0" borderId="0" xfId="3" applyFont="1" applyBorder="1"/>
    <xf numFmtId="0" fontId="2" fillId="0" borderId="6" xfId="3" applyBorder="1"/>
    <xf numFmtId="0" fontId="3" fillId="0" borderId="6" xfId="3" applyFont="1" applyBorder="1" applyAlignment="1">
      <alignment horizontal="left"/>
    </xf>
    <xf numFmtId="0" fontId="4" fillId="0" borderId="5" xfId="3" applyFont="1" applyBorder="1"/>
    <xf numFmtId="0" fontId="3" fillId="0" borderId="7" xfId="3" applyFont="1" applyBorder="1"/>
    <xf numFmtId="0" fontId="3" fillId="0" borderId="8" xfId="3" applyFont="1" applyBorder="1"/>
    <xf numFmtId="0" fontId="3" fillId="0" borderId="9" xfId="3" applyFont="1" applyBorder="1"/>
    <xf numFmtId="0" fontId="17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/>
    <xf numFmtId="0" fontId="3" fillId="0" borderId="12" xfId="0" applyFont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2" fillId="0" borderId="12" xfId="3" applyFont="1" applyBorder="1" applyAlignment="1" applyProtection="1">
      <alignment horizontal="center"/>
      <protection locked="0"/>
    </xf>
    <xf numFmtId="0" fontId="2" fillId="0" borderId="12" xfId="3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protection locked="0"/>
    </xf>
    <xf numFmtId="0" fontId="2" fillId="0" borderId="12" xfId="3" applyFont="1" applyBorder="1" applyAlignment="1" applyProtection="1">
      <alignment horizontal="right"/>
      <protection locked="0"/>
    </xf>
    <xf numFmtId="0" fontId="9" fillId="0" borderId="12" xfId="4" applyBorder="1" applyProtection="1">
      <protection locked="0"/>
    </xf>
    <xf numFmtId="0" fontId="3" fillId="0" borderId="12" xfId="4" applyFont="1" applyBorder="1" applyProtection="1">
      <protection locked="0"/>
    </xf>
    <xf numFmtId="0" fontId="9" fillId="0" borderId="0" xfId="4" applyBorder="1" applyProtection="1">
      <protection locked="0"/>
    </xf>
    <xf numFmtId="0" fontId="2" fillId="0" borderId="0" xfId="3" applyAlignment="1" applyProtection="1">
      <alignment horizontal="center"/>
    </xf>
    <xf numFmtId="0" fontId="2" fillId="0" borderId="0" xfId="3" applyProtection="1"/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3" fillId="0" borderId="0" xfId="0" applyFont="1" applyAlignment="1" applyProtection="1">
      <alignment horizontal="left"/>
    </xf>
    <xf numFmtId="0" fontId="3" fillId="0" borderId="12" xfId="3" applyFont="1" applyBorder="1" applyAlignment="1" applyProtection="1">
      <alignment horizontal="center"/>
      <protection locked="0"/>
    </xf>
    <xf numFmtId="0" fontId="3" fillId="0" borderId="12" xfId="3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9" fontId="3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3" borderId="0" xfId="0" applyFont="1" applyFill="1"/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/>
    </xf>
    <xf numFmtId="0" fontId="3" fillId="4" borderId="0" xfId="0" applyFont="1" applyFill="1" applyBorder="1"/>
    <xf numFmtId="0" fontId="2" fillId="0" borderId="13" xfId="3" applyBorder="1" applyAlignment="1" applyProtection="1">
      <alignment horizontal="center"/>
      <protection locked="0"/>
    </xf>
    <xf numFmtId="0" fontId="10" fillId="0" borderId="8" xfId="3" applyFont="1" applyBorder="1" applyAlignment="1" applyProtection="1">
      <alignment horizontal="center"/>
    </xf>
    <xf numFmtId="0" fontId="6" fillId="0" borderId="0" xfId="3" applyFont="1" applyBorder="1" applyAlignment="1" applyProtection="1">
      <alignment horizontal="left"/>
    </xf>
    <xf numFmtId="0" fontId="10" fillId="0" borderId="0" xfId="3" applyFont="1" applyBorder="1" applyProtection="1"/>
    <xf numFmtId="0" fontId="2" fillId="0" borderId="12" xfId="3" applyBorder="1" applyAlignment="1" applyProtection="1">
      <alignment horizontal="center"/>
    </xf>
    <xf numFmtId="0" fontId="3" fillId="0" borderId="0" xfId="3" applyFont="1" applyAlignment="1" applyProtection="1"/>
    <xf numFmtId="0" fontId="3" fillId="0" borderId="0" xfId="3" applyFont="1" applyAlignment="1" applyProtection="1">
      <alignment horizontal="centerContinuous"/>
    </xf>
    <xf numFmtId="0" fontId="3" fillId="0" borderId="0" xfId="3" applyFont="1" applyAlignment="1" applyProtection="1">
      <alignment horizontal="center"/>
    </xf>
    <xf numFmtId="0" fontId="3" fillId="0" borderId="0" xfId="3" applyFont="1" applyAlignment="1" applyProtection="1">
      <alignment horizontal="left"/>
    </xf>
    <xf numFmtId="0" fontId="3" fillId="0" borderId="0" xfId="3" applyFont="1" applyProtection="1"/>
    <xf numFmtId="0" fontId="4" fillId="0" borderId="0" xfId="3" applyFont="1" applyAlignment="1" applyProtection="1">
      <alignment horizontal="centerContinuous"/>
    </xf>
    <xf numFmtId="0" fontId="6" fillId="0" borderId="0" xfId="3" applyFont="1" applyAlignment="1" applyProtection="1">
      <alignment horizontal="right"/>
    </xf>
    <xf numFmtId="0" fontId="3" fillId="0" borderId="0" xfId="3" applyFont="1" applyBorder="1" applyProtection="1"/>
    <xf numFmtId="0" fontId="6" fillId="0" borderId="0" xfId="3" applyFont="1" applyAlignment="1" applyProtection="1">
      <alignment horizontal="center"/>
    </xf>
    <xf numFmtId="0" fontId="3" fillId="0" borderId="0" xfId="3" applyFont="1" applyBorder="1" applyAlignment="1" applyProtection="1">
      <alignment horizontal="center"/>
    </xf>
    <xf numFmtId="0" fontId="6" fillId="0" borderId="0" xfId="3" quotePrefix="1" applyFont="1" applyAlignment="1" applyProtection="1">
      <alignment horizontal="right"/>
    </xf>
    <xf numFmtId="0" fontId="3" fillId="0" borderId="0" xfId="3" applyFont="1" applyBorder="1" applyAlignment="1" applyProtection="1"/>
    <xf numFmtId="0" fontId="6" fillId="0" borderId="0" xfId="3" applyFont="1" applyAlignment="1" applyProtection="1">
      <alignment horizontal="centerContinuous"/>
    </xf>
    <xf numFmtId="0" fontId="6" fillId="0" borderId="0" xfId="3" applyFont="1" applyProtection="1"/>
    <xf numFmtId="0" fontId="3" fillId="0" borderId="0" xfId="3" quotePrefix="1" applyFont="1" applyAlignment="1" applyProtection="1">
      <alignment horizontal="center"/>
    </xf>
    <xf numFmtId="0" fontId="3" fillId="0" borderId="0" xfId="3" quotePrefix="1" applyFont="1" applyAlignment="1" applyProtection="1">
      <alignment horizontal="left"/>
    </xf>
    <xf numFmtId="0" fontId="4" fillId="0" borderId="0" xfId="3" applyFont="1" applyProtection="1"/>
    <xf numFmtId="0" fontId="3" fillId="0" borderId="0" xfId="3" applyFont="1" applyBorder="1" applyAlignment="1" applyProtection="1">
      <alignment horizontal="left"/>
    </xf>
    <xf numFmtId="0" fontId="10" fillId="0" borderId="12" xfId="3" applyFont="1" applyBorder="1" applyAlignment="1" applyProtection="1">
      <alignment horizontal="center"/>
    </xf>
    <xf numFmtId="0" fontId="10" fillId="0" borderId="0" xfId="3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3" fillId="0" borderId="0" xfId="0" quotePrefix="1" applyFont="1" applyAlignment="1" applyProtection="1">
      <alignment horizontal="center"/>
    </xf>
    <xf numFmtId="0" fontId="3" fillId="0" borderId="0" xfId="0" quotePrefix="1" applyFont="1" applyAlignment="1" applyProtection="1">
      <alignment horizontal="left"/>
    </xf>
    <xf numFmtId="0" fontId="4" fillId="0" borderId="0" xfId="0" applyFont="1" applyProtection="1"/>
    <xf numFmtId="0" fontId="3" fillId="0" borderId="12" xfId="0" applyFont="1" applyBorder="1" applyAlignment="1" applyProtection="1">
      <alignment horizontal="center"/>
    </xf>
    <xf numFmtId="6" fontId="3" fillId="0" borderId="0" xfId="0" applyNumberFormat="1" applyFont="1" applyProtection="1"/>
    <xf numFmtId="0" fontId="0" fillId="0" borderId="0" xfId="0" applyAlignment="1" applyProtection="1">
      <alignment horizontal="center"/>
    </xf>
    <xf numFmtId="0" fontId="10" fillId="0" borderId="0" xfId="0" applyFont="1" applyProtection="1"/>
    <xf numFmtId="0" fontId="3" fillId="0" borderId="0" xfId="0" applyFont="1" applyFill="1" applyAlignment="1" applyProtection="1"/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0" fontId="5" fillId="0" borderId="0" xfId="3" applyFont="1" applyAlignment="1" applyProtection="1">
      <alignment horizontal="centerContinuous"/>
    </xf>
    <xf numFmtId="0" fontId="3" fillId="0" borderId="0" xfId="3" quotePrefix="1" applyFont="1" applyAlignment="1" applyProtection="1">
      <alignment horizontal="centerContinuous"/>
    </xf>
    <xf numFmtId="0" fontId="6" fillId="0" borderId="12" xfId="3" applyFont="1" applyBorder="1" applyAlignment="1" applyProtection="1">
      <alignment horizontal="center"/>
    </xf>
    <xf numFmtId="0" fontId="6" fillId="0" borderId="12" xfId="3" applyFont="1" applyBorder="1" applyProtection="1"/>
    <xf numFmtId="0" fontId="6" fillId="0" borderId="0" xfId="3" applyFont="1" applyBorder="1" applyProtection="1"/>
    <xf numFmtId="0" fontId="3" fillId="0" borderId="0" xfId="3" applyFont="1" applyAlignment="1" applyProtection="1">
      <alignment horizontal="fill"/>
    </xf>
    <xf numFmtId="0" fontId="2" fillId="0" borderId="0" xfId="3" applyFont="1" applyProtection="1"/>
    <xf numFmtId="0" fontId="10" fillId="0" borderId="1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0" xfId="3" applyFont="1" applyAlignment="1" applyProtection="1">
      <alignment horizontal="right"/>
    </xf>
    <xf numFmtId="0" fontId="5" fillId="2" borderId="0" xfId="3" applyFont="1" applyFill="1" applyBorder="1" applyAlignment="1" applyProtection="1">
      <alignment horizontal="center"/>
    </xf>
    <xf numFmtId="0" fontId="3" fillId="2" borderId="0" xfId="3" applyFont="1" applyFill="1" applyBorder="1" applyProtection="1"/>
    <xf numFmtId="0" fontId="5" fillId="0" borderId="0" xfId="3" applyFont="1" applyAlignment="1" applyProtection="1">
      <alignment horizontal="center"/>
    </xf>
    <xf numFmtId="0" fontId="6" fillId="2" borderId="12" xfId="3" applyFont="1" applyFill="1" applyBorder="1" applyAlignment="1" applyProtection="1">
      <alignment horizontal="center"/>
    </xf>
    <xf numFmtId="0" fontId="3" fillId="2" borderId="12" xfId="3" applyFont="1" applyFill="1" applyBorder="1" applyProtection="1"/>
    <xf numFmtId="5" fontId="6" fillId="2" borderId="12" xfId="3" quotePrefix="1" applyNumberFormat="1" applyFont="1" applyFill="1" applyBorder="1" applyAlignment="1" applyProtection="1">
      <alignment horizontal="center"/>
    </xf>
    <xf numFmtId="5" fontId="6" fillId="0" borderId="0" xfId="3" quotePrefix="1" applyNumberFormat="1" applyFont="1" applyAlignment="1" applyProtection="1">
      <alignment horizontal="center"/>
    </xf>
    <xf numFmtId="0" fontId="2" fillId="0" borderId="12" xfId="3" applyBorder="1" applyProtection="1"/>
    <xf numFmtId="10" fontId="3" fillId="0" borderId="0" xfId="3" applyNumberFormat="1" applyFont="1" applyAlignment="1" applyProtection="1">
      <alignment horizontal="right"/>
    </xf>
    <xf numFmtId="0" fontId="10" fillId="0" borderId="0" xfId="3" applyFont="1" applyAlignment="1" applyProtection="1">
      <alignment horizontal="center"/>
    </xf>
    <xf numFmtId="0" fontId="10" fillId="0" borderId="0" xfId="3" applyFont="1" applyBorder="1" applyAlignment="1" applyProtection="1">
      <alignment horizontal="center"/>
    </xf>
    <xf numFmtId="0" fontId="2" fillId="0" borderId="0" xfId="3" applyAlignment="1" applyProtection="1">
      <alignment horizontal="centerContinuous"/>
    </xf>
    <xf numFmtId="0" fontId="2" fillId="0" borderId="3" xfId="3" applyBorder="1" applyProtection="1"/>
    <xf numFmtId="0" fontId="2" fillId="0" borderId="0" xfId="3" applyAlignment="1" applyProtection="1">
      <alignment horizontal="left"/>
    </xf>
    <xf numFmtId="0" fontId="3" fillId="2" borderId="0" xfId="0" applyFont="1" applyFill="1" applyProtection="1"/>
    <xf numFmtId="0" fontId="6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2" borderId="12" xfId="0" applyFont="1" applyFill="1" applyBorder="1" applyAlignment="1" applyProtection="1">
      <alignment horizontal="centerContinuous"/>
    </xf>
    <xf numFmtId="0" fontId="3" fillId="2" borderId="12" xfId="0" applyFont="1" applyFill="1" applyBorder="1" applyAlignment="1" applyProtection="1">
      <alignment horizontal="centerContinuous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Protection="1"/>
    <xf numFmtId="2" fontId="3" fillId="0" borderId="0" xfId="0" applyNumberFormat="1" applyFont="1" applyBorder="1" applyAlignment="1" applyProtection="1"/>
    <xf numFmtId="2" fontId="3" fillId="0" borderId="0" xfId="0" applyNumberFormat="1" applyFont="1" applyAlignment="1" applyProtection="1">
      <alignment horizontal="left"/>
    </xf>
    <xf numFmtId="2" fontId="3" fillId="0" borderId="0" xfId="0" applyNumberFormat="1" applyFont="1" applyAlignment="1" applyProtection="1"/>
    <xf numFmtId="2" fontId="3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/>
    <xf numFmtId="2" fontId="0" fillId="0" borderId="0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5" fillId="0" borderId="0" xfId="3" applyFont="1" applyBorder="1" applyAlignment="1" applyProtection="1">
      <alignment horizontal="centerContinuous"/>
    </xf>
    <xf numFmtId="0" fontId="2" fillId="0" borderId="0" xfId="3" applyFont="1" applyAlignment="1" applyProtection="1">
      <alignment horizontal="right"/>
    </xf>
    <xf numFmtId="0" fontId="6" fillId="0" borderId="0" xfId="3" quotePrefix="1" applyFont="1" applyProtection="1"/>
    <xf numFmtId="0" fontId="2" fillId="0" borderId="0" xfId="3" applyFont="1" applyBorder="1" applyAlignment="1" applyProtection="1">
      <alignment horizontal="right"/>
    </xf>
    <xf numFmtId="0" fontId="10" fillId="0" borderId="12" xfId="3" applyFont="1" applyBorder="1" applyAlignment="1" applyProtection="1">
      <alignment horizontal="right"/>
    </xf>
    <xf numFmtId="0" fontId="3" fillId="0" borderId="0" xfId="3" applyFont="1" applyFill="1" applyAlignment="1"/>
    <xf numFmtId="0" fontId="3" fillId="0" borderId="0" xfId="3" applyFont="1" applyFill="1" applyAlignment="1">
      <alignment horizontal="left"/>
    </xf>
    <xf numFmtId="0" fontId="14" fillId="0" borderId="0" xfId="3" applyFont="1" applyFill="1" applyAlignment="1">
      <alignment vertical="top"/>
    </xf>
    <xf numFmtId="0" fontId="14" fillId="0" borderId="0" xfId="3" applyFont="1" applyFill="1" applyAlignment="1"/>
    <xf numFmtId="0" fontId="3" fillId="0" borderId="0" xfId="0" applyFont="1" applyFill="1" applyAlignment="1"/>
    <xf numFmtId="0" fontId="13" fillId="0" borderId="0" xfId="0" applyFont="1" applyAlignment="1"/>
    <xf numFmtId="0" fontId="13" fillId="0" borderId="0" xfId="0" applyFont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9" fillId="0" borderId="0" xfId="0" applyFont="1" applyFill="1" applyProtection="1">
      <protection locked="0"/>
    </xf>
    <xf numFmtId="0" fontId="13" fillId="0" borderId="0" xfId="0" applyFont="1" applyFill="1" applyAlignment="1"/>
    <xf numFmtId="0" fontId="13" fillId="0" borderId="0" xfId="9" applyFont="1" applyFill="1" applyBorder="1" applyAlignment="1" applyProtection="1">
      <protection locked="0"/>
    </xf>
    <xf numFmtId="0" fontId="19" fillId="0" borderId="0" xfId="9" applyFont="1" applyFill="1" applyProtection="1">
      <protection locked="0"/>
    </xf>
    <xf numFmtId="0" fontId="11" fillId="0" borderId="5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1" fontId="6" fillId="0" borderId="0" xfId="3" applyNumberFormat="1" applyFont="1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/>
    </xf>
    <xf numFmtId="0" fontId="2" fillId="0" borderId="0" xfId="3" applyAlignment="1" applyProtection="1">
      <alignment horizontal="center"/>
    </xf>
  </cellXfs>
  <cellStyles count="13">
    <cellStyle name="Comma" xfId="1" builtinId="3"/>
    <cellStyle name="Comma 2" xfId="2"/>
    <cellStyle name="Comma 3" xfId="10"/>
    <cellStyle name="Normal" xfId="0" builtinId="0"/>
    <cellStyle name="Normal 2" xfId="3"/>
    <cellStyle name="Normal 3" xfId="4"/>
    <cellStyle name="Normal 4" xfId="5"/>
    <cellStyle name="Normal 5" xfId="6"/>
    <cellStyle name="Normal 5 2" xfId="11"/>
    <cellStyle name="Normal 6" xfId="7"/>
    <cellStyle name="Normal 6 2" xfId="12"/>
    <cellStyle name="Normal 7" xfId="9"/>
    <cellStyle name="Normal 8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25</xdr:row>
      <xdr:rowOff>19050</xdr:rowOff>
    </xdr:from>
    <xdr:to>
      <xdr:col>12</xdr:col>
      <xdr:colOff>9525</xdr:colOff>
      <xdr:row>31</xdr:row>
      <xdr:rowOff>19050</xdr:rowOff>
    </xdr:to>
    <xdr:pic>
      <xdr:nvPicPr>
        <xdr:cNvPr id="1034" name="Picture 1" descr="NEW CB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" contrast="-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27"/>
        <a:stretch>
          <a:fillRect/>
        </a:stretch>
      </xdr:blipFill>
      <xdr:spPr bwMode="auto">
        <a:xfrm>
          <a:off x="2857500" y="3486150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67"/>
  <sheetViews>
    <sheetView showGridLines="0" topLeftCell="B22" workbookViewId="0">
      <selection activeCell="Q11" sqref="Q11"/>
    </sheetView>
  </sheetViews>
  <sheetFormatPr defaultColWidth="8.8984375" defaultRowHeight="10.5" x14ac:dyDescent="0.25"/>
  <cols>
    <col min="1" max="1" width="2" style="3" hidden="1" customWidth="1"/>
    <col min="2" max="2" width="11.59765625" style="3" customWidth="1"/>
    <col min="3" max="3" width="5.8984375" style="3" customWidth="1"/>
    <col min="4" max="4" width="1.69921875" style="3" customWidth="1"/>
    <col min="5" max="5" width="9.69921875" style="3" customWidth="1"/>
    <col min="6" max="6" width="1.69921875" style="3" customWidth="1"/>
    <col min="7" max="7" width="5.8984375" style="3" customWidth="1"/>
    <col min="8" max="8" width="1.69921875" style="3" customWidth="1"/>
    <col min="9" max="9" width="9.69921875" style="3" customWidth="1"/>
    <col min="10" max="10" width="1.69921875" style="3" customWidth="1"/>
    <col min="11" max="11" width="5.8984375" style="3" customWidth="1"/>
    <col min="12" max="12" width="1.69921875" style="3" customWidth="1"/>
    <col min="13" max="13" width="9.69921875" style="3" customWidth="1"/>
    <col min="14" max="14" width="1.69921875" style="3" customWidth="1"/>
    <col min="15" max="15" width="5.8984375" style="3" customWidth="1"/>
    <col min="16" max="16" width="1.69921875" style="3" customWidth="1"/>
    <col min="17" max="17" width="31.59765625" style="3" customWidth="1"/>
    <col min="18" max="16384" width="8.8984375" style="3"/>
  </cols>
  <sheetData>
    <row r="1" spans="1:17" ht="11" thickBot="1" x14ac:dyDescent="0.3"/>
    <row r="2" spans="1:17" x14ac:dyDescent="0.25">
      <c r="A2" s="24"/>
      <c r="B2" s="27"/>
      <c r="C2" s="28"/>
      <c r="D2" s="28"/>
      <c r="E2" s="28"/>
      <c r="F2" s="28"/>
      <c r="G2" s="28"/>
      <c r="H2" s="28"/>
      <c r="I2" s="29"/>
      <c r="J2" s="29"/>
      <c r="K2" s="28"/>
      <c r="L2" s="28"/>
      <c r="M2" s="28"/>
      <c r="N2" s="28"/>
      <c r="O2" s="28"/>
      <c r="P2" s="28"/>
      <c r="Q2" s="30"/>
    </row>
    <row r="3" spans="1:17" x14ac:dyDescent="0.25">
      <c r="A3" s="24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x14ac:dyDescent="0.25">
      <c r="A4" s="23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x14ac:dyDescent="0.25">
      <c r="A5" s="26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x14ac:dyDescent="0.25">
      <c r="A6" s="23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x14ac:dyDescent="0.25">
      <c r="A7" s="26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x14ac:dyDescent="0.25">
      <c r="A8" s="23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x14ac:dyDescent="0.2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3" x14ac:dyDescent="0.35">
      <c r="A11" s="4"/>
      <c r="B11" s="37"/>
      <c r="C11" s="35"/>
      <c r="D11" s="35"/>
      <c r="E11" s="5"/>
      <c r="F11" s="5"/>
      <c r="G11" s="35"/>
      <c r="H11" s="35"/>
      <c r="I11" s="38"/>
      <c r="J11" s="35"/>
      <c r="K11" s="39"/>
      <c r="L11" s="5"/>
      <c r="M11" s="35"/>
      <c r="N11" s="35"/>
      <c r="O11" s="35"/>
      <c r="P11" s="35"/>
      <c r="Q11" s="36"/>
    </row>
    <row r="12" spans="1:17" ht="13" x14ac:dyDescent="0.35">
      <c r="A12" s="4"/>
      <c r="B12" s="37"/>
      <c r="C12" s="35"/>
      <c r="D12" s="35"/>
      <c r="E12" s="38"/>
      <c r="F12" s="35"/>
      <c r="G12" s="35"/>
      <c r="H12" s="35"/>
      <c r="I12" s="35"/>
      <c r="J12" s="35"/>
      <c r="K12" s="39"/>
      <c r="L12" s="5"/>
      <c r="M12" s="35"/>
      <c r="N12" s="35"/>
      <c r="O12" s="35"/>
      <c r="P12" s="35"/>
      <c r="Q12" s="36"/>
    </row>
    <row r="13" spans="1:17" ht="13" x14ac:dyDescent="0.35">
      <c r="A13" s="4"/>
      <c r="B13" s="40"/>
      <c r="C13" s="41"/>
      <c r="D13" s="35"/>
      <c r="E13" s="38"/>
      <c r="F13" s="35"/>
      <c r="G13" s="35"/>
      <c r="H13" s="35"/>
      <c r="I13" s="35"/>
      <c r="J13" s="35"/>
      <c r="K13" s="39"/>
      <c r="L13" s="5"/>
      <c r="M13" s="35"/>
      <c r="N13" s="35"/>
      <c r="O13" s="35"/>
      <c r="P13" s="35"/>
      <c r="Q13" s="36"/>
    </row>
    <row r="14" spans="1:17" ht="6" customHeight="1" x14ac:dyDescent="0.35">
      <c r="A14" s="4"/>
      <c r="B14" s="40"/>
      <c r="C14" s="41"/>
      <c r="D14" s="35"/>
      <c r="E14" s="38"/>
      <c r="F14" s="35"/>
      <c r="G14" s="35"/>
      <c r="H14" s="35"/>
      <c r="I14" s="35"/>
      <c r="J14" s="35"/>
      <c r="K14" s="39"/>
      <c r="L14" s="5"/>
      <c r="M14" s="35"/>
      <c r="N14" s="35"/>
      <c r="O14" s="35"/>
      <c r="P14" s="35"/>
      <c r="Q14" s="36"/>
    </row>
    <row r="15" spans="1:17" x14ac:dyDescent="0.25">
      <c r="B15" s="40"/>
      <c r="C15" s="4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5.25" customHeight="1" x14ac:dyDescent="0.25">
      <c r="B16" s="40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x14ac:dyDescent="0.25">
      <c r="B17" s="37"/>
      <c r="C17" s="4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x14ac:dyDescent="0.25">
      <c r="B18" s="37"/>
      <c r="C18" s="4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x14ac:dyDescent="0.25">
      <c r="B19" s="34"/>
      <c r="C19" s="42"/>
      <c r="D19" s="42"/>
      <c r="E19" s="32"/>
      <c r="F19" s="32"/>
      <c r="G19" s="42"/>
      <c r="H19" s="42"/>
      <c r="I19" s="32"/>
      <c r="J19" s="32"/>
      <c r="K19" s="42"/>
      <c r="L19" s="42"/>
      <c r="M19" s="32"/>
      <c r="N19" s="32"/>
      <c r="O19" s="42"/>
      <c r="P19" s="42"/>
      <c r="Q19" s="33"/>
    </row>
    <row r="20" spans="1:17" x14ac:dyDescent="0.25">
      <c r="A20" s="25"/>
      <c r="B20" s="43"/>
      <c r="C20" s="42"/>
      <c r="D20" s="42"/>
      <c r="E20" s="32"/>
      <c r="F20" s="32"/>
      <c r="G20" s="42"/>
      <c r="H20" s="42"/>
      <c r="I20" s="32"/>
      <c r="J20" s="32"/>
      <c r="K20" s="42"/>
      <c r="L20" s="42"/>
      <c r="M20" s="32"/>
      <c r="N20" s="32"/>
      <c r="O20" s="42"/>
      <c r="P20" s="42"/>
      <c r="Q20" s="33"/>
    </row>
    <row r="21" spans="1:17" x14ac:dyDescent="0.25">
      <c r="B21" s="34"/>
      <c r="C21" s="42"/>
      <c r="D21" s="42"/>
      <c r="E21" s="32"/>
      <c r="F21" s="32"/>
      <c r="G21" s="42"/>
      <c r="H21" s="42"/>
      <c r="I21" s="32"/>
      <c r="J21" s="32"/>
      <c r="K21" s="42"/>
      <c r="L21" s="42"/>
      <c r="M21" s="32"/>
      <c r="N21" s="32"/>
      <c r="O21" s="42"/>
      <c r="P21" s="42"/>
      <c r="Q21" s="33"/>
    </row>
    <row r="22" spans="1:17" x14ac:dyDescent="0.25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25.5" x14ac:dyDescent="0.65">
      <c r="A23" s="35"/>
      <c r="B23" s="205" t="s">
        <v>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</row>
    <row r="24" spans="1:17" x14ac:dyDescent="0.25">
      <c r="B24" s="43"/>
      <c r="C24" s="39"/>
      <c r="D24" s="39"/>
      <c r="E24" s="44"/>
      <c r="F24" s="45"/>
      <c r="G24" s="39"/>
      <c r="H24" s="39"/>
      <c r="I24" s="44"/>
      <c r="J24" s="45"/>
      <c r="K24" s="39"/>
      <c r="L24" s="39"/>
      <c r="M24" s="44"/>
      <c r="N24" s="45"/>
      <c r="O24" s="39"/>
      <c r="P24" s="39"/>
      <c r="Q24" s="46"/>
    </row>
    <row r="25" spans="1:17" x14ac:dyDescent="0.25">
      <c r="B25" s="4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7"/>
    </row>
    <row r="26" spans="1:17" ht="13" x14ac:dyDescent="0.35">
      <c r="B26" s="43"/>
      <c r="C26" s="39"/>
      <c r="D26" s="39"/>
      <c r="E26" s="39"/>
      <c r="F26" s="39"/>
      <c r="G26" s="39"/>
      <c r="H26" s="39"/>
      <c r="I26" s="2"/>
      <c r="J26" s="39"/>
      <c r="K26" s="39"/>
      <c r="L26" s="48"/>
      <c r="M26" s="39"/>
      <c r="N26" s="48"/>
      <c r="O26" s="39"/>
      <c r="P26" s="48"/>
      <c r="Q26" s="47"/>
    </row>
    <row r="27" spans="1:17" x14ac:dyDescent="0.25">
      <c r="A27" s="35"/>
      <c r="B27" s="4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7"/>
    </row>
    <row r="28" spans="1:17" x14ac:dyDescent="0.25">
      <c r="B28" s="4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7"/>
    </row>
    <row r="29" spans="1:17" ht="13" x14ac:dyDescent="0.35">
      <c r="B29" s="43"/>
      <c r="C29" s="41"/>
      <c r="D29" s="41"/>
      <c r="E29" s="41"/>
      <c r="F29" s="41"/>
      <c r="G29" s="41"/>
      <c r="H29" s="41"/>
      <c r="I29" s="41"/>
      <c r="J29" s="41"/>
      <c r="K29" s="5"/>
      <c r="L29" s="5"/>
      <c r="M29" s="5"/>
      <c r="N29" s="5"/>
      <c r="O29" s="5"/>
      <c r="P29" s="5"/>
      <c r="Q29" s="49"/>
    </row>
    <row r="30" spans="1:17" ht="13" x14ac:dyDescent="0.35">
      <c r="B30" s="43"/>
      <c r="C30" s="41"/>
      <c r="D30" s="41"/>
      <c r="E30" s="41"/>
      <c r="F30" s="41"/>
      <c r="G30" s="41"/>
      <c r="H30" s="41"/>
      <c r="I30" s="41"/>
      <c r="J30" s="41"/>
      <c r="K30" s="5"/>
      <c r="L30" s="5"/>
      <c r="M30" s="5"/>
      <c r="N30" s="5"/>
      <c r="O30" s="5"/>
      <c r="P30" s="5"/>
      <c r="Q30" s="49"/>
    </row>
    <row r="31" spans="1:17" ht="13" x14ac:dyDescent="0.35">
      <c r="B31" s="43"/>
      <c r="C31" s="41"/>
      <c r="D31" s="41"/>
      <c r="E31" s="41"/>
      <c r="F31" s="41"/>
      <c r="G31" s="41"/>
      <c r="H31" s="41"/>
      <c r="I31" s="41"/>
      <c r="J31" s="41"/>
      <c r="K31" s="5"/>
      <c r="L31" s="5"/>
      <c r="M31" s="5"/>
      <c r="N31" s="5"/>
      <c r="O31" s="5"/>
      <c r="P31" s="5"/>
      <c r="Q31" s="49"/>
    </row>
    <row r="32" spans="1:17" x14ac:dyDescent="0.25">
      <c r="B32" s="34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50"/>
    </row>
    <row r="33" spans="2:17" ht="12" customHeight="1" x14ac:dyDescent="0.25">
      <c r="B33" s="5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50"/>
    </row>
    <row r="34" spans="2:17" ht="13" x14ac:dyDescent="0.35">
      <c r="B34" s="51"/>
      <c r="C34" s="41"/>
      <c r="D34" s="41"/>
      <c r="E34" s="41"/>
      <c r="F34" s="41"/>
      <c r="G34" s="41"/>
      <c r="H34" s="41"/>
      <c r="I34" s="41"/>
      <c r="J34" s="41"/>
      <c r="K34" s="41"/>
      <c r="L34" s="5"/>
      <c r="M34" s="41"/>
      <c r="N34" s="5"/>
      <c r="O34" s="41"/>
      <c r="P34" s="5"/>
      <c r="Q34" s="50"/>
    </row>
    <row r="35" spans="2:17" ht="13" x14ac:dyDescent="0.35">
      <c r="B35" s="3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9"/>
    </row>
    <row r="36" spans="2:17" ht="13" x14ac:dyDescent="0.35">
      <c r="B36" s="3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9"/>
    </row>
    <row r="37" spans="2:17" ht="25.5" x14ac:dyDescent="0.65">
      <c r="B37" s="205" t="s">
        <v>130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7"/>
    </row>
    <row r="38" spans="2:17" ht="25.5" x14ac:dyDescent="0.65">
      <c r="B38" s="205" t="s">
        <v>131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7"/>
    </row>
    <row r="39" spans="2:17" ht="25.5" x14ac:dyDescent="0.65"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</row>
    <row r="40" spans="2:17" ht="13" x14ac:dyDescent="0.35">
      <c r="B40" s="3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9"/>
    </row>
    <row r="41" spans="2:17" ht="13" x14ac:dyDescent="0.35">
      <c r="B41" s="5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9"/>
    </row>
    <row r="42" spans="2:17" ht="13" x14ac:dyDescent="0.35">
      <c r="B42" s="51"/>
      <c r="C42" s="41"/>
      <c r="D42" s="41"/>
      <c r="E42" s="41"/>
      <c r="F42" s="41"/>
      <c r="G42" s="41"/>
      <c r="H42" s="41"/>
      <c r="I42" s="41"/>
      <c r="J42" s="41"/>
      <c r="K42" s="41"/>
      <c r="L42" s="5"/>
      <c r="M42" s="41"/>
      <c r="N42" s="5"/>
      <c r="O42" s="41"/>
      <c r="P42" s="5"/>
      <c r="Q42" s="50"/>
    </row>
    <row r="43" spans="2:17" ht="13" x14ac:dyDescent="0.35">
      <c r="B43" s="34"/>
      <c r="C43" s="41"/>
      <c r="D43" s="41"/>
      <c r="E43" s="41"/>
      <c r="F43" s="41"/>
      <c r="G43" s="41"/>
      <c r="H43" s="41"/>
      <c r="I43" s="41"/>
      <c r="J43" s="41"/>
      <c r="K43" s="5"/>
      <c r="L43" s="5"/>
      <c r="M43" s="5"/>
      <c r="N43" s="5"/>
      <c r="O43" s="5"/>
      <c r="P43" s="5"/>
      <c r="Q43" s="49"/>
    </row>
    <row r="44" spans="2:17" ht="13" x14ac:dyDescent="0.35">
      <c r="B44" s="34"/>
      <c r="C44" s="41"/>
      <c r="D44" s="41"/>
      <c r="E44" s="41"/>
      <c r="F44" s="41"/>
      <c r="G44" s="41"/>
      <c r="H44" s="41"/>
      <c r="I44" s="41"/>
      <c r="J44" s="41"/>
      <c r="K44" s="5"/>
      <c r="L44" s="5"/>
      <c r="M44" s="5"/>
      <c r="N44" s="5"/>
      <c r="O44" s="5"/>
      <c r="P44" s="5"/>
      <c r="Q44" s="49"/>
    </row>
    <row r="45" spans="2:17" ht="13" x14ac:dyDescent="0.35">
      <c r="B45" s="34"/>
      <c r="C45" s="41"/>
      <c r="D45" s="41"/>
      <c r="E45" s="41"/>
      <c r="F45" s="41"/>
      <c r="G45" s="41"/>
      <c r="H45" s="41"/>
      <c r="I45" s="41"/>
      <c r="J45" s="41"/>
      <c r="K45" s="5"/>
      <c r="L45" s="5"/>
      <c r="M45" s="5"/>
      <c r="N45" s="5"/>
      <c r="O45" s="5"/>
      <c r="P45" s="5"/>
      <c r="Q45" s="49"/>
    </row>
    <row r="46" spans="2:17" ht="13" x14ac:dyDescent="0.35">
      <c r="B46" s="34"/>
      <c r="C46" s="41"/>
      <c r="D46" s="41"/>
      <c r="E46" s="41"/>
      <c r="F46" s="41"/>
      <c r="G46" s="41"/>
      <c r="H46" s="41"/>
      <c r="I46" s="41"/>
      <c r="J46" s="41"/>
      <c r="K46" s="5"/>
      <c r="L46" s="5"/>
      <c r="M46" s="5"/>
      <c r="N46" s="5"/>
      <c r="O46" s="5"/>
      <c r="P46" s="5"/>
      <c r="Q46" s="49"/>
    </row>
    <row r="47" spans="2:17" ht="13" x14ac:dyDescent="0.35">
      <c r="B47" s="34"/>
      <c r="C47" s="41"/>
      <c r="D47" s="41"/>
      <c r="E47" s="41"/>
      <c r="F47" s="41"/>
      <c r="G47" s="41"/>
      <c r="H47" s="41"/>
      <c r="I47" s="41"/>
      <c r="J47" s="41"/>
      <c r="K47" s="5"/>
      <c r="L47" s="5"/>
      <c r="M47" s="5"/>
      <c r="N47" s="5"/>
      <c r="O47" s="5"/>
      <c r="P47" s="5"/>
      <c r="Q47" s="49"/>
    </row>
    <row r="48" spans="2:17" x14ac:dyDescent="0.25">
      <c r="B48" s="3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50"/>
    </row>
    <row r="49" spans="1:19" x14ac:dyDescent="0.25">
      <c r="B49" s="5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50"/>
    </row>
    <row r="50" spans="1:19" ht="13" x14ac:dyDescent="0.35">
      <c r="B50" s="51"/>
      <c r="C50" s="41"/>
      <c r="D50" s="41"/>
      <c r="E50" s="41"/>
      <c r="F50" s="41"/>
      <c r="G50" s="41"/>
      <c r="H50" s="41"/>
      <c r="I50" s="41"/>
      <c r="J50" s="41"/>
      <c r="K50" s="41"/>
      <c r="L50" s="5"/>
      <c r="M50" s="41"/>
      <c r="N50" s="5"/>
      <c r="O50" s="41"/>
      <c r="P50" s="5"/>
      <c r="Q50" s="50"/>
    </row>
    <row r="51" spans="1:19" ht="13" x14ac:dyDescent="0.35"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9"/>
    </row>
    <row r="52" spans="1:19" ht="13" x14ac:dyDescent="0.35"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9"/>
    </row>
    <row r="53" spans="1:19" ht="13" x14ac:dyDescent="0.35">
      <c r="B53" s="3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9"/>
    </row>
    <row r="54" spans="1:19" ht="13" x14ac:dyDescent="0.35">
      <c r="B54" s="3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9"/>
    </row>
    <row r="55" spans="1:19" ht="13" x14ac:dyDescent="0.35">
      <c r="B55" s="3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9"/>
    </row>
    <row r="56" spans="1:19" ht="13" x14ac:dyDescent="0.35"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49"/>
    </row>
    <row r="57" spans="1:19" ht="13" x14ac:dyDescent="0.35">
      <c r="B57" s="51"/>
      <c r="C57" s="41"/>
      <c r="D57" s="41"/>
      <c r="E57" s="41"/>
      <c r="F57" s="41"/>
      <c r="G57" s="41"/>
      <c r="H57" s="41"/>
      <c r="I57" s="41"/>
      <c r="J57" s="41"/>
      <c r="K57" s="41"/>
      <c r="L57" s="5"/>
      <c r="M57" s="41"/>
      <c r="N57" s="5"/>
      <c r="O57" s="41"/>
      <c r="P57" s="5"/>
      <c r="Q57" s="50"/>
    </row>
    <row r="58" spans="1:19" ht="13" x14ac:dyDescent="0.35">
      <c r="B58" s="3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9"/>
    </row>
    <row r="59" spans="1:19" ht="13" x14ac:dyDescent="0.35">
      <c r="B59" s="3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9"/>
    </row>
    <row r="60" spans="1:19" ht="13" x14ac:dyDescent="0.35">
      <c r="B60" s="3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9"/>
      <c r="R60" s="35"/>
      <c r="S60" s="35"/>
    </row>
    <row r="61" spans="1:19" ht="13" x14ac:dyDescent="0.35">
      <c r="B61" s="3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49"/>
      <c r="R61" s="35"/>
      <c r="S61" s="35"/>
    </row>
    <row r="62" spans="1:19" ht="13" x14ac:dyDescent="0.35">
      <c r="A62" s="35"/>
      <c r="B62" s="3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9"/>
      <c r="R62" s="35"/>
      <c r="S62" s="35"/>
    </row>
    <row r="63" spans="1:19" ht="13" x14ac:dyDescent="0.35">
      <c r="A63" s="35"/>
      <c r="B63" s="3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9"/>
    </row>
    <row r="64" spans="1:19" ht="13" x14ac:dyDescent="0.35">
      <c r="A64" s="35"/>
      <c r="B64" s="4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9"/>
    </row>
    <row r="65" spans="1:24" ht="11" thickBot="1" x14ac:dyDescent="0.3">
      <c r="A65" s="35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4"/>
      <c r="U65" s="3" t="s">
        <v>26</v>
      </c>
      <c r="V65" s="3" t="s">
        <v>26</v>
      </c>
      <c r="W65" s="3" t="s">
        <v>26</v>
      </c>
      <c r="X65" s="3" t="s">
        <v>26</v>
      </c>
    </row>
    <row r="66" spans="1:2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U66" s="3" t="s">
        <v>26</v>
      </c>
      <c r="V66" s="3" t="s">
        <v>26</v>
      </c>
      <c r="W66" s="3" t="s">
        <v>26</v>
      </c>
      <c r="X66" s="3" t="s">
        <v>26</v>
      </c>
    </row>
    <row r="67" spans="1:2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</sheetData>
  <mergeCells count="4">
    <mergeCell ref="B23:Q23"/>
    <mergeCell ref="B37:Q37"/>
    <mergeCell ref="B39:Q39"/>
    <mergeCell ref="B38:Q38"/>
  </mergeCells>
  <printOptions horizontalCentered="1" gridLinesSet="0"/>
  <pageMargins left="0" right="0" top="0.78740157480314965" bottom="0.47244094488188981" header="0.47244094488188981" footer="0.19685039370078741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fitToPage="1"/>
  </sheetPr>
  <dimension ref="A2:AF73"/>
  <sheetViews>
    <sheetView showGridLines="0" zoomScale="85" zoomScaleNormal="85" workbookViewId="0">
      <selection activeCell="S70" sqref="S70"/>
    </sheetView>
  </sheetViews>
  <sheetFormatPr defaultColWidth="8.8984375" defaultRowHeight="10.5" x14ac:dyDescent="0.25"/>
  <cols>
    <col min="1" max="1" width="2" style="130" customWidth="1"/>
    <col min="2" max="2" width="16.69921875" style="130" customWidth="1"/>
    <col min="3" max="3" width="5.8984375" style="130" customWidth="1"/>
    <col min="4" max="4" width="1.69921875" style="130" customWidth="1"/>
    <col min="5" max="5" width="9.69921875" style="130" customWidth="1"/>
    <col min="6" max="6" width="1.69921875" style="130" customWidth="1"/>
    <col min="7" max="7" width="5.8984375" style="130" customWidth="1"/>
    <col min="8" max="8" width="1.69921875" style="130" customWidth="1"/>
    <col min="9" max="9" width="9.69921875" style="130" customWidth="1"/>
    <col min="10" max="10" width="1.69921875" style="130" customWidth="1"/>
    <col min="11" max="11" width="5.8984375" style="130" customWidth="1"/>
    <col min="12" max="12" width="1.69921875" style="130" customWidth="1"/>
    <col min="13" max="13" width="9.69921875" style="130" customWidth="1"/>
    <col min="14" max="14" width="1.69921875" style="130" customWidth="1"/>
    <col min="15" max="15" width="5.8984375" style="130" customWidth="1"/>
    <col min="16" max="16" width="1.69921875" style="130" customWidth="1"/>
    <col min="17" max="17" width="10.69921875" style="130" customWidth="1"/>
    <col min="18" max="18" width="1.69921875" style="130" customWidth="1"/>
    <col min="19" max="19" width="5.8984375" style="130" customWidth="1"/>
    <col min="20" max="20" width="1.69921875" style="130" customWidth="1"/>
    <col min="21" max="21" width="9.69921875" style="130" customWidth="1"/>
    <col min="22" max="22" width="1.69921875" style="130" customWidth="1"/>
    <col min="23" max="23" width="5.8984375" style="130" customWidth="1"/>
    <col min="24" max="24" width="1.69921875" style="130" customWidth="1"/>
    <col min="25" max="25" width="14.69921875" style="130" customWidth="1"/>
    <col min="26" max="16384" width="8.8984375" style="130"/>
  </cols>
  <sheetData>
    <row r="2" spans="1:25" x14ac:dyDescent="0.25">
      <c r="A2" s="126"/>
      <c r="B2" s="127"/>
      <c r="C2" s="127"/>
      <c r="D2" s="127"/>
      <c r="E2" s="127"/>
      <c r="F2" s="127"/>
      <c r="G2" s="127"/>
      <c r="H2" s="127"/>
      <c r="I2" s="80"/>
      <c r="J2" s="80"/>
      <c r="K2" s="127"/>
      <c r="L2" s="127"/>
      <c r="M2" s="127"/>
      <c r="N2" s="127"/>
      <c r="O2" s="127"/>
      <c r="P2" s="127"/>
      <c r="Q2" s="126"/>
      <c r="R2" s="80"/>
      <c r="S2" s="127"/>
      <c r="T2" s="127"/>
      <c r="U2" s="127"/>
      <c r="V2" s="127"/>
      <c r="W2" s="127"/>
      <c r="X2" s="127"/>
      <c r="Y2" s="126" t="s">
        <v>751</v>
      </c>
    </row>
    <row r="3" spans="1:25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x14ac:dyDescent="0.25">
      <c r="A4" s="131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x14ac:dyDescent="0.25">
      <c r="A5" s="13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x14ac:dyDescent="0.25">
      <c r="A6" s="131" t="s">
        <v>752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x14ac:dyDescent="0.25">
      <c r="A7" s="132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x14ac:dyDescent="0.25">
      <c r="A8" s="131" t="s">
        <v>753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11" spans="1:25" x14ac:dyDescent="0.25">
      <c r="B11" s="133"/>
      <c r="C11" s="77"/>
    </row>
    <row r="12" spans="1:25" x14ac:dyDescent="0.25">
      <c r="A12" s="171"/>
      <c r="B12" s="171"/>
      <c r="C12" s="172" t="s">
        <v>111</v>
      </c>
      <c r="D12" s="172"/>
      <c r="E12" s="173"/>
      <c r="F12" s="173"/>
      <c r="G12" s="172" t="s">
        <v>67</v>
      </c>
      <c r="H12" s="172"/>
      <c r="I12" s="173"/>
      <c r="J12" s="127"/>
      <c r="K12" s="172" t="s">
        <v>110</v>
      </c>
      <c r="L12" s="172"/>
      <c r="M12" s="173"/>
      <c r="N12" s="173"/>
      <c r="O12" s="172" t="s">
        <v>67</v>
      </c>
      <c r="P12" s="172"/>
      <c r="Q12" s="173"/>
      <c r="R12" s="127"/>
      <c r="S12" s="172" t="s">
        <v>103</v>
      </c>
      <c r="T12" s="172"/>
      <c r="U12" s="173"/>
      <c r="V12" s="173"/>
      <c r="W12" s="172" t="s">
        <v>67</v>
      </c>
      <c r="X12" s="172"/>
      <c r="Y12" s="173"/>
    </row>
    <row r="13" spans="1:25" x14ac:dyDescent="0.25">
      <c r="A13" s="174" t="s">
        <v>5</v>
      </c>
      <c r="B13" s="174" t="s">
        <v>69</v>
      </c>
      <c r="C13" s="172" t="s">
        <v>8</v>
      </c>
      <c r="D13" s="173"/>
      <c r="E13" s="173"/>
      <c r="F13" s="172"/>
      <c r="G13" s="172" t="s">
        <v>66</v>
      </c>
      <c r="H13" s="172"/>
      <c r="I13" s="173"/>
      <c r="J13" s="127"/>
      <c r="K13" s="172" t="s">
        <v>8</v>
      </c>
      <c r="L13" s="172"/>
      <c r="M13" s="173"/>
      <c r="N13" s="173"/>
      <c r="O13" s="172" t="s">
        <v>66</v>
      </c>
      <c r="P13" s="172"/>
      <c r="Q13" s="173"/>
      <c r="R13" s="127"/>
      <c r="S13" s="172" t="s">
        <v>9</v>
      </c>
      <c r="T13" s="172"/>
      <c r="U13" s="173"/>
      <c r="V13" s="173"/>
      <c r="W13" s="172" t="s">
        <v>66</v>
      </c>
      <c r="X13" s="172"/>
      <c r="Y13" s="173"/>
    </row>
    <row r="14" spans="1:25" x14ac:dyDescent="0.25">
      <c r="A14" s="171"/>
      <c r="B14" s="171"/>
      <c r="C14" s="175" t="s">
        <v>11</v>
      </c>
      <c r="D14" s="175"/>
      <c r="E14" s="176"/>
      <c r="F14" s="176"/>
      <c r="G14" s="175" t="s">
        <v>68</v>
      </c>
      <c r="H14" s="175"/>
      <c r="I14" s="176"/>
      <c r="J14" s="127"/>
      <c r="K14" s="175" t="s">
        <v>65</v>
      </c>
      <c r="L14" s="175"/>
      <c r="M14" s="176"/>
      <c r="N14" s="176"/>
      <c r="O14" s="175" t="s">
        <v>68</v>
      </c>
      <c r="P14" s="175"/>
      <c r="Q14" s="176"/>
      <c r="R14" s="127"/>
      <c r="S14" s="175" t="s">
        <v>12</v>
      </c>
      <c r="T14" s="175"/>
      <c r="U14" s="176"/>
      <c r="V14" s="176"/>
      <c r="W14" s="175" t="s">
        <v>68</v>
      </c>
      <c r="X14" s="175"/>
      <c r="Y14" s="176"/>
    </row>
    <row r="16" spans="1:25" x14ac:dyDescent="0.25">
      <c r="C16" s="80" t="s">
        <v>29</v>
      </c>
      <c r="D16" s="80"/>
      <c r="E16" s="128" t="s">
        <v>28</v>
      </c>
      <c r="F16" s="80"/>
      <c r="G16" s="80" t="s">
        <v>29</v>
      </c>
      <c r="H16" s="80"/>
      <c r="I16" s="128" t="s">
        <v>28</v>
      </c>
      <c r="J16" s="80"/>
      <c r="K16" s="80" t="s">
        <v>29</v>
      </c>
      <c r="L16" s="80"/>
      <c r="M16" s="128" t="s">
        <v>28</v>
      </c>
      <c r="N16" s="80"/>
      <c r="O16" s="80" t="s">
        <v>29</v>
      </c>
      <c r="P16" s="80"/>
      <c r="Q16" s="128" t="s">
        <v>28</v>
      </c>
      <c r="R16" s="80"/>
      <c r="S16" s="80" t="s">
        <v>29</v>
      </c>
      <c r="T16" s="80"/>
      <c r="U16" s="128" t="s">
        <v>28</v>
      </c>
      <c r="V16" s="80"/>
      <c r="W16" s="80" t="s">
        <v>29</v>
      </c>
      <c r="X16" s="80"/>
      <c r="Y16" s="128" t="s">
        <v>28</v>
      </c>
    </row>
    <row r="17" spans="1:32" x14ac:dyDescent="0.25">
      <c r="C17" s="80"/>
      <c r="D17" s="80"/>
      <c r="E17" s="137"/>
      <c r="F17" s="138"/>
      <c r="G17" s="80"/>
      <c r="H17" s="80"/>
      <c r="I17" s="137"/>
      <c r="J17" s="138"/>
      <c r="K17" s="80"/>
      <c r="L17" s="80"/>
      <c r="M17" s="137"/>
      <c r="N17" s="138"/>
      <c r="O17" s="80"/>
      <c r="P17" s="80"/>
      <c r="Q17" s="137"/>
      <c r="R17" s="138"/>
      <c r="S17" s="80"/>
      <c r="T17" s="80"/>
      <c r="U17" s="137"/>
      <c r="V17" s="138"/>
      <c r="W17" s="80"/>
      <c r="X17" s="80"/>
      <c r="Y17" s="137"/>
    </row>
    <row r="18" spans="1:32" x14ac:dyDescent="0.25"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32" ht="13" x14ac:dyDescent="0.35">
      <c r="A19" s="130" t="s">
        <v>16</v>
      </c>
      <c r="B19" s="139" t="s">
        <v>17</v>
      </c>
      <c r="C19" s="67"/>
      <c r="D19" s="177"/>
      <c r="E19" s="67"/>
      <c r="F19" s="178"/>
      <c r="G19" s="67"/>
      <c r="H19" s="177"/>
      <c r="I19" s="67"/>
      <c r="J19" s="178"/>
      <c r="K19" s="67"/>
      <c r="L19" s="177"/>
      <c r="M19" s="67"/>
      <c r="N19" s="179"/>
      <c r="O19" s="67"/>
      <c r="P19" s="177"/>
      <c r="Q19" s="67"/>
      <c r="R19" s="178"/>
      <c r="S19" s="67"/>
      <c r="T19" s="177"/>
      <c r="U19" s="67"/>
      <c r="V19" s="179"/>
      <c r="W19" s="68"/>
      <c r="X19" s="180"/>
      <c r="Y19" s="67"/>
    </row>
    <row r="20" spans="1:32" x14ac:dyDescent="0.25"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2"/>
      <c r="X20" s="182"/>
      <c r="Y20" s="183"/>
    </row>
    <row r="21" spans="1:32" x14ac:dyDescent="0.25">
      <c r="A21" s="130" t="s">
        <v>18</v>
      </c>
      <c r="B21" s="139" t="s">
        <v>19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2"/>
      <c r="Y21" s="183"/>
    </row>
    <row r="22" spans="1:32" ht="13" x14ac:dyDescent="0.35">
      <c r="B22" s="139" t="s">
        <v>128</v>
      </c>
      <c r="C22" s="67"/>
      <c r="D22" s="177"/>
      <c r="E22" s="67"/>
      <c r="F22" s="178"/>
      <c r="G22" s="67"/>
      <c r="H22" s="177"/>
      <c r="I22" s="67"/>
      <c r="J22" s="178"/>
      <c r="K22" s="67"/>
      <c r="L22" s="177"/>
      <c r="M22" s="67"/>
      <c r="N22" s="179"/>
      <c r="O22" s="67"/>
      <c r="P22" s="177"/>
      <c r="Q22" s="67"/>
      <c r="R22" s="178"/>
      <c r="S22" s="67"/>
      <c r="T22" s="177"/>
      <c r="U22" s="67"/>
      <c r="V22" s="179"/>
      <c r="W22" s="68"/>
      <c r="X22" s="180"/>
      <c r="Y22" s="67"/>
    </row>
    <row r="23" spans="1:32" ht="13" x14ac:dyDescent="0.35"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5"/>
      <c r="X23" s="185"/>
      <c r="Y23" s="185"/>
    </row>
    <row r="24" spans="1:32" ht="13" x14ac:dyDescent="0.35">
      <c r="A24" s="130" t="s">
        <v>20</v>
      </c>
      <c r="B24" s="139" t="s">
        <v>21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5"/>
      <c r="X24" s="185"/>
      <c r="Y24" s="185"/>
    </row>
    <row r="25" spans="1:32" ht="13" x14ac:dyDescent="0.35">
      <c r="B25" s="139" t="s">
        <v>129</v>
      </c>
      <c r="C25" s="67"/>
      <c r="D25" s="177"/>
      <c r="E25" s="67"/>
      <c r="F25" s="177"/>
      <c r="G25" s="67"/>
      <c r="H25" s="177"/>
      <c r="I25" s="67"/>
      <c r="J25" s="177"/>
      <c r="K25" s="67"/>
      <c r="L25" s="177"/>
      <c r="M25" s="67"/>
      <c r="N25" s="186"/>
      <c r="O25" s="67"/>
      <c r="P25" s="177"/>
      <c r="Q25" s="67"/>
      <c r="R25" s="177"/>
      <c r="S25" s="67"/>
      <c r="T25" s="186"/>
      <c r="U25" s="67"/>
      <c r="V25" s="186"/>
      <c r="W25" s="67"/>
      <c r="X25" s="186"/>
      <c r="Y25" s="67"/>
    </row>
    <row r="26" spans="1:32" x14ac:dyDescent="0.25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2"/>
      <c r="X26" s="182"/>
      <c r="Y26" s="182"/>
    </row>
    <row r="27" spans="1:32" x14ac:dyDescent="0.25">
      <c r="A27" s="130" t="s">
        <v>22</v>
      </c>
      <c r="B27" s="139" t="s">
        <v>23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2"/>
      <c r="X27" s="182"/>
      <c r="Y27" s="182"/>
    </row>
    <row r="28" spans="1:32" ht="13" x14ac:dyDescent="0.35">
      <c r="B28" s="139" t="s">
        <v>129</v>
      </c>
      <c r="C28" s="67"/>
      <c r="D28" s="177"/>
      <c r="E28" s="67"/>
      <c r="F28" s="178"/>
      <c r="G28" s="67"/>
      <c r="H28" s="177"/>
      <c r="I28" s="67"/>
      <c r="J28" s="178"/>
      <c r="K28" s="67"/>
      <c r="L28" s="177"/>
      <c r="M28" s="67"/>
      <c r="N28" s="186"/>
      <c r="O28" s="67"/>
      <c r="P28" s="177"/>
      <c r="Q28" s="67"/>
      <c r="R28" s="177"/>
      <c r="S28" s="67"/>
      <c r="T28" s="186"/>
      <c r="U28" s="67"/>
      <c r="V28" s="186"/>
      <c r="W28" s="67"/>
      <c r="X28" s="186"/>
      <c r="Y28" s="67"/>
    </row>
    <row r="29" spans="1:32" ht="13" x14ac:dyDescent="0.35"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5"/>
      <c r="X29" s="185"/>
      <c r="Y29" s="185"/>
    </row>
    <row r="30" spans="1:32" ht="13" x14ac:dyDescent="0.35">
      <c r="A30" s="130" t="s">
        <v>24</v>
      </c>
      <c r="B30" s="139" t="s">
        <v>25</v>
      </c>
      <c r="C30" s="67"/>
      <c r="D30" s="177"/>
      <c r="E30" s="67"/>
      <c r="F30" s="177"/>
      <c r="G30" s="67"/>
      <c r="H30" s="177"/>
      <c r="I30" s="67"/>
      <c r="J30" s="177"/>
      <c r="K30" s="67"/>
      <c r="L30" s="186"/>
      <c r="M30" s="67"/>
      <c r="N30" s="186"/>
      <c r="O30" s="67"/>
      <c r="P30" s="186"/>
      <c r="Q30" s="67"/>
      <c r="R30" s="177"/>
      <c r="S30" s="67"/>
      <c r="T30" s="186"/>
      <c r="U30" s="67"/>
      <c r="V30" s="186"/>
      <c r="W30" s="67"/>
      <c r="X30" s="186"/>
      <c r="Y30" s="67"/>
    </row>
    <row r="31" spans="1:32" ht="13" x14ac:dyDescent="0.35"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32" x14ac:dyDescent="0.25">
      <c r="AC32" s="130" t="s">
        <v>26</v>
      </c>
      <c r="AD32" s="130" t="s">
        <v>26</v>
      </c>
      <c r="AE32" s="130" t="s">
        <v>26</v>
      </c>
      <c r="AF32" s="130" t="s">
        <v>26</v>
      </c>
    </row>
    <row r="33" spans="1:32" x14ac:dyDescent="0.25">
      <c r="A33" s="171"/>
      <c r="B33" s="171"/>
      <c r="C33" s="172" t="s">
        <v>111</v>
      </c>
      <c r="D33" s="172"/>
      <c r="E33" s="173"/>
      <c r="F33" s="173"/>
      <c r="G33" s="172" t="s">
        <v>67</v>
      </c>
      <c r="H33" s="172"/>
      <c r="I33" s="173"/>
      <c r="J33" s="127"/>
      <c r="K33" s="172" t="s">
        <v>110</v>
      </c>
      <c r="L33" s="172"/>
      <c r="M33" s="173"/>
      <c r="N33" s="173"/>
      <c r="O33" s="172" t="s">
        <v>67</v>
      </c>
      <c r="P33" s="172"/>
      <c r="Q33" s="173"/>
      <c r="R33" s="127"/>
      <c r="S33" s="172" t="s">
        <v>103</v>
      </c>
      <c r="T33" s="172"/>
      <c r="U33" s="173"/>
      <c r="V33" s="173"/>
      <c r="W33" s="172" t="s">
        <v>67</v>
      </c>
      <c r="X33" s="172"/>
      <c r="Y33" s="173"/>
      <c r="AC33" s="130" t="s">
        <v>26</v>
      </c>
      <c r="AD33" s="130" t="s">
        <v>26</v>
      </c>
      <c r="AE33" s="130" t="s">
        <v>26</v>
      </c>
      <c r="AF33" s="130" t="s">
        <v>26</v>
      </c>
    </row>
    <row r="34" spans="1:32" x14ac:dyDescent="0.25">
      <c r="A34" s="174" t="s">
        <v>45</v>
      </c>
      <c r="B34" s="174" t="s">
        <v>81</v>
      </c>
      <c r="C34" s="172" t="s">
        <v>8</v>
      </c>
      <c r="D34" s="173"/>
      <c r="E34" s="173"/>
      <c r="F34" s="172"/>
      <c r="G34" s="172" t="s">
        <v>66</v>
      </c>
      <c r="H34" s="172"/>
      <c r="I34" s="173"/>
      <c r="J34" s="127"/>
      <c r="K34" s="172" t="s">
        <v>8</v>
      </c>
      <c r="L34" s="172"/>
      <c r="M34" s="173"/>
      <c r="N34" s="173"/>
      <c r="O34" s="172" t="s">
        <v>66</v>
      </c>
      <c r="P34" s="172"/>
      <c r="Q34" s="173"/>
      <c r="R34" s="127"/>
      <c r="S34" s="172" t="s">
        <v>9</v>
      </c>
      <c r="T34" s="172"/>
      <c r="U34" s="173"/>
      <c r="V34" s="173"/>
      <c r="W34" s="172" t="s">
        <v>66</v>
      </c>
      <c r="X34" s="172"/>
      <c r="Y34" s="173"/>
    </row>
    <row r="35" spans="1:32" x14ac:dyDescent="0.25">
      <c r="A35" s="171"/>
      <c r="B35" s="171"/>
      <c r="C35" s="175" t="s">
        <v>11</v>
      </c>
      <c r="D35" s="175"/>
      <c r="E35" s="176"/>
      <c r="F35" s="176"/>
      <c r="G35" s="175" t="s">
        <v>68</v>
      </c>
      <c r="H35" s="175"/>
      <c r="I35" s="176"/>
      <c r="J35" s="127"/>
      <c r="K35" s="175" t="s">
        <v>65</v>
      </c>
      <c r="L35" s="175"/>
      <c r="M35" s="176"/>
      <c r="N35" s="176"/>
      <c r="O35" s="175" t="s">
        <v>68</v>
      </c>
      <c r="P35" s="175"/>
      <c r="Q35" s="176"/>
      <c r="R35" s="127"/>
      <c r="S35" s="175" t="s">
        <v>12</v>
      </c>
      <c r="T35" s="175"/>
      <c r="U35" s="176"/>
      <c r="V35" s="176"/>
      <c r="W35" s="175" t="s">
        <v>68</v>
      </c>
      <c r="X35" s="175"/>
      <c r="Y35" s="176"/>
    </row>
    <row r="37" spans="1:32" x14ac:dyDescent="0.25">
      <c r="C37" s="80" t="s">
        <v>29</v>
      </c>
      <c r="D37" s="80"/>
      <c r="E37" s="128" t="s">
        <v>28</v>
      </c>
      <c r="F37" s="80"/>
      <c r="G37" s="80" t="s">
        <v>29</v>
      </c>
      <c r="H37" s="80"/>
      <c r="I37" s="128" t="s">
        <v>28</v>
      </c>
      <c r="J37" s="80"/>
      <c r="K37" s="80" t="s">
        <v>29</v>
      </c>
      <c r="L37" s="80"/>
      <c r="M37" s="128" t="s">
        <v>28</v>
      </c>
      <c r="N37" s="80"/>
      <c r="O37" s="80" t="s">
        <v>29</v>
      </c>
      <c r="P37" s="80"/>
      <c r="Q37" s="128" t="s">
        <v>28</v>
      </c>
      <c r="R37" s="80"/>
      <c r="S37" s="80" t="s">
        <v>29</v>
      </c>
      <c r="T37" s="80"/>
      <c r="U37" s="128" t="s">
        <v>28</v>
      </c>
      <c r="V37" s="80"/>
      <c r="W37" s="80" t="s">
        <v>29</v>
      </c>
      <c r="X37" s="80"/>
      <c r="Y37" s="128" t="s">
        <v>28</v>
      </c>
    </row>
    <row r="38" spans="1:32" x14ac:dyDescent="0.25">
      <c r="C38" s="80"/>
      <c r="D38" s="80"/>
      <c r="E38" s="137"/>
      <c r="F38" s="138"/>
      <c r="G38" s="80"/>
      <c r="H38" s="80"/>
      <c r="I38" s="137"/>
      <c r="J38" s="138"/>
      <c r="K38" s="80"/>
      <c r="L38" s="80"/>
      <c r="M38" s="137"/>
      <c r="N38" s="138"/>
      <c r="O38" s="80"/>
      <c r="P38" s="80"/>
      <c r="Q38" s="137"/>
      <c r="R38" s="138"/>
      <c r="S38" s="80"/>
      <c r="T38" s="80"/>
      <c r="U38" s="137"/>
      <c r="V38" s="138"/>
      <c r="W38" s="80"/>
      <c r="X38" s="80"/>
      <c r="Y38" s="137"/>
    </row>
    <row r="39" spans="1:32" x14ac:dyDescent="0.25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32" ht="13" x14ac:dyDescent="0.35">
      <c r="B40" s="139" t="s">
        <v>17</v>
      </c>
      <c r="C40" s="67"/>
      <c r="D40" s="177"/>
      <c r="E40" s="67"/>
      <c r="F40" s="178"/>
      <c r="G40" s="67"/>
      <c r="H40" s="177"/>
      <c r="I40" s="67"/>
      <c r="J40" s="178"/>
      <c r="K40" s="67"/>
      <c r="L40" s="177"/>
      <c r="M40" s="67"/>
      <c r="N40" s="179"/>
      <c r="O40" s="67"/>
      <c r="P40" s="177"/>
      <c r="Q40" s="67"/>
      <c r="R40" s="178"/>
      <c r="S40" s="67"/>
      <c r="T40" s="177"/>
      <c r="U40" s="67"/>
      <c r="V40" s="179"/>
      <c r="W40" s="67"/>
      <c r="X40" s="177"/>
      <c r="Y40" s="67"/>
    </row>
    <row r="41" spans="1:32" x14ac:dyDescent="0.25"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</row>
    <row r="42" spans="1:32" x14ac:dyDescent="0.25">
      <c r="B42" s="139" t="s">
        <v>19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</row>
    <row r="43" spans="1:32" ht="13" x14ac:dyDescent="0.35">
      <c r="B43" s="139" t="s">
        <v>128</v>
      </c>
      <c r="C43" s="67"/>
      <c r="D43" s="177"/>
      <c r="E43" s="67"/>
      <c r="F43" s="178"/>
      <c r="G43" s="67"/>
      <c r="H43" s="177"/>
      <c r="I43" s="67"/>
      <c r="J43" s="178"/>
      <c r="K43" s="67"/>
      <c r="L43" s="177"/>
      <c r="M43" s="67"/>
      <c r="N43" s="179"/>
      <c r="O43" s="67"/>
      <c r="P43" s="177"/>
      <c r="Q43" s="67"/>
      <c r="R43" s="178"/>
      <c r="S43" s="67"/>
      <c r="T43" s="177"/>
      <c r="U43" s="67"/>
      <c r="V43" s="179"/>
      <c r="W43" s="67"/>
      <c r="X43" s="177"/>
      <c r="Y43" s="67"/>
    </row>
    <row r="44" spans="1:32" ht="13" x14ac:dyDescent="0.35"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  <row r="45" spans="1:32" ht="13" x14ac:dyDescent="0.35">
      <c r="B45" s="139" t="s">
        <v>21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</row>
    <row r="46" spans="1:32" ht="13" x14ac:dyDescent="0.35">
      <c r="B46" s="139" t="s">
        <v>129</v>
      </c>
      <c r="C46" s="67"/>
      <c r="D46" s="177"/>
      <c r="E46" s="67"/>
      <c r="F46" s="177"/>
      <c r="G46" s="67"/>
      <c r="H46" s="177"/>
      <c r="I46" s="67"/>
      <c r="J46" s="177"/>
      <c r="K46" s="67"/>
      <c r="L46" s="177"/>
      <c r="M46" s="67"/>
      <c r="N46" s="186"/>
      <c r="O46" s="67"/>
      <c r="P46" s="177"/>
      <c r="Q46" s="67"/>
      <c r="R46" s="177"/>
      <c r="S46" s="67"/>
      <c r="T46" s="186"/>
      <c r="U46" s="67"/>
      <c r="V46" s="186"/>
      <c r="W46" s="67"/>
      <c r="X46" s="186"/>
      <c r="Y46" s="67"/>
    </row>
    <row r="47" spans="1:32" x14ac:dyDescent="0.25"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3"/>
      <c r="X47" s="183"/>
      <c r="Y47" s="183"/>
    </row>
    <row r="48" spans="1:32" x14ac:dyDescent="0.25">
      <c r="B48" s="139" t="s">
        <v>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3"/>
      <c r="X48" s="183"/>
      <c r="Y48" s="183"/>
    </row>
    <row r="49" spans="1:25" ht="13" x14ac:dyDescent="0.35">
      <c r="B49" s="139" t="s">
        <v>129</v>
      </c>
      <c r="C49" s="67"/>
      <c r="D49" s="177"/>
      <c r="E49" s="67"/>
      <c r="F49" s="178"/>
      <c r="G49" s="67"/>
      <c r="H49" s="177"/>
      <c r="I49" s="67"/>
      <c r="J49" s="178"/>
      <c r="K49" s="67"/>
      <c r="L49" s="177"/>
      <c r="M49" s="67"/>
      <c r="N49" s="179"/>
      <c r="O49" s="67"/>
      <c r="P49" s="177"/>
      <c r="Q49" s="67"/>
      <c r="R49" s="178"/>
      <c r="S49" s="67"/>
      <c r="T49" s="186"/>
      <c r="U49" s="67"/>
      <c r="V49" s="179"/>
      <c r="W49" s="67"/>
      <c r="X49" s="186"/>
      <c r="Y49" s="67"/>
    </row>
    <row r="50" spans="1:25" ht="13" x14ac:dyDescent="0.35"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7"/>
      <c r="X50" s="187"/>
      <c r="Y50" s="187"/>
    </row>
    <row r="51" spans="1:25" ht="13" x14ac:dyDescent="0.35">
      <c r="B51" s="139" t="s">
        <v>25</v>
      </c>
      <c r="C51" s="67"/>
      <c r="D51" s="177"/>
      <c r="E51" s="67"/>
      <c r="F51" s="178"/>
      <c r="G51" s="67"/>
      <c r="H51" s="177"/>
      <c r="I51" s="67"/>
      <c r="J51" s="178"/>
      <c r="K51" s="67"/>
      <c r="L51" s="186"/>
      <c r="M51" s="67"/>
      <c r="N51" s="179"/>
      <c r="O51" s="67"/>
      <c r="P51" s="186"/>
      <c r="Q51" s="67"/>
      <c r="R51" s="178"/>
      <c r="S51" s="67"/>
      <c r="T51" s="186"/>
      <c r="U51" s="67"/>
      <c r="V51" s="179"/>
      <c r="W51" s="67"/>
      <c r="X51" s="186"/>
      <c r="Y51" s="67"/>
    </row>
    <row r="52" spans="1:25" ht="13" x14ac:dyDescent="0.35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4" spans="1:25" x14ac:dyDescent="0.25">
      <c r="A54" s="171"/>
      <c r="B54" s="171"/>
      <c r="C54" s="172" t="s">
        <v>111</v>
      </c>
      <c r="D54" s="172"/>
      <c r="E54" s="173"/>
      <c r="F54" s="173"/>
      <c r="G54" s="172" t="s">
        <v>67</v>
      </c>
      <c r="H54" s="172"/>
      <c r="I54" s="173"/>
      <c r="J54" s="127"/>
      <c r="K54" s="172" t="s">
        <v>110</v>
      </c>
      <c r="L54" s="172"/>
      <c r="M54" s="173"/>
      <c r="N54" s="173"/>
      <c r="O54" s="172" t="s">
        <v>67</v>
      </c>
      <c r="P54" s="172"/>
      <c r="Q54" s="173"/>
      <c r="R54" s="127"/>
      <c r="S54" s="172" t="s">
        <v>103</v>
      </c>
      <c r="T54" s="172"/>
      <c r="U54" s="173"/>
      <c r="V54" s="173"/>
      <c r="W54" s="172" t="s">
        <v>67</v>
      </c>
      <c r="X54" s="172"/>
      <c r="Y54" s="173"/>
    </row>
    <row r="55" spans="1:25" x14ac:dyDescent="0.25">
      <c r="A55" s="174" t="s">
        <v>5</v>
      </c>
      <c r="B55" s="174" t="s">
        <v>82</v>
      </c>
      <c r="C55" s="172" t="s">
        <v>8</v>
      </c>
      <c r="D55" s="173"/>
      <c r="E55" s="173"/>
      <c r="F55" s="172"/>
      <c r="G55" s="172" t="s">
        <v>66</v>
      </c>
      <c r="H55" s="172"/>
      <c r="I55" s="173"/>
      <c r="J55" s="127"/>
      <c r="K55" s="172" t="s">
        <v>8</v>
      </c>
      <c r="L55" s="172"/>
      <c r="M55" s="173"/>
      <c r="N55" s="173"/>
      <c r="O55" s="172" t="s">
        <v>66</v>
      </c>
      <c r="P55" s="172"/>
      <c r="Q55" s="173"/>
      <c r="R55" s="127"/>
      <c r="S55" s="172" t="s">
        <v>9</v>
      </c>
      <c r="T55" s="172"/>
      <c r="U55" s="173"/>
      <c r="V55" s="173"/>
      <c r="W55" s="172" t="s">
        <v>66</v>
      </c>
      <c r="X55" s="172"/>
      <c r="Y55" s="173"/>
    </row>
    <row r="56" spans="1:25" x14ac:dyDescent="0.25">
      <c r="A56" s="171"/>
      <c r="B56" s="171"/>
      <c r="C56" s="175" t="s">
        <v>11</v>
      </c>
      <c r="D56" s="175"/>
      <c r="E56" s="176"/>
      <c r="F56" s="176"/>
      <c r="G56" s="175" t="s">
        <v>68</v>
      </c>
      <c r="H56" s="175"/>
      <c r="I56" s="176"/>
      <c r="J56" s="127"/>
      <c r="K56" s="175" t="s">
        <v>65</v>
      </c>
      <c r="L56" s="175"/>
      <c r="M56" s="176"/>
      <c r="N56" s="176"/>
      <c r="O56" s="175" t="s">
        <v>68</v>
      </c>
      <c r="P56" s="175"/>
      <c r="Q56" s="176"/>
      <c r="R56" s="127"/>
      <c r="S56" s="175" t="s">
        <v>12</v>
      </c>
      <c r="T56" s="175"/>
      <c r="U56" s="176"/>
      <c r="V56" s="176"/>
      <c r="W56" s="175" t="s">
        <v>68</v>
      </c>
      <c r="X56" s="175"/>
      <c r="Y56" s="176"/>
    </row>
    <row r="58" spans="1:25" x14ac:dyDescent="0.25">
      <c r="C58" s="80" t="s">
        <v>29</v>
      </c>
      <c r="D58" s="80"/>
      <c r="E58" s="128" t="s">
        <v>28</v>
      </c>
      <c r="F58" s="80"/>
      <c r="G58" s="80" t="s">
        <v>29</v>
      </c>
      <c r="H58" s="80"/>
      <c r="I58" s="128" t="s">
        <v>28</v>
      </c>
      <c r="J58" s="80"/>
      <c r="K58" s="80" t="s">
        <v>29</v>
      </c>
      <c r="L58" s="80"/>
      <c r="M58" s="128" t="s">
        <v>28</v>
      </c>
      <c r="N58" s="80"/>
      <c r="O58" s="80" t="s">
        <v>29</v>
      </c>
      <c r="P58" s="80"/>
      <c r="Q58" s="128" t="s">
        <v>28</v>
      </c>
      <c r="R58" s="80"/>
      <c r="S58" s="80" t="s">
        <v>29</v>
      </c>
      <c r="T58" s="80"/>
      <c r="U58" s="128" t="s">
        <v>28</v>
      </c>
      <c r="V58" s="80"/>
      <c r="W58" s="80" t="s">
        <v>29</v>
      </c>
      <c r="X58" s="80"/>
      <c r="Y58" s="128" t="s">
        <v>28</v>
      </c>
    </row>
    <row r="59" spans="1:25" x14ac:dyDescent="0.25">
      <c r="C59" s="80"/>
      <c r="D59" s="80"/>
      <c r="E59" s="137"/>
      <c r="F59" s="138"/>
      <c r="G59" s="80"/>
      <c r="H59" s="80"/>
      <c r="I59" s="137"/>
      <c r="J59" s="138"/>
      <c r="K59" s="80"/>
      <c r="L59" s="80"/>
      <c r="M59" s="137"/>
      <c r="N59" s="138"/>
      <c r="O59" s="80"/>
      <c r="P59" s="80"/>
      <c r="Q59" s="137"/>
      <c r="R59" s="138"/>
      <c r="S59" s="80"/>
      <c r="T59" s="80"/>
      <c r="U59" s="137"/>
      <c r="V59" s="138"/>
      <c r="W59" s="80"/>
      <c r="X59" s="80"/>
      <c r="Y59" s="137"/>
    </row>
    <row r="60" spans="1:25" x14ac:dyDescent="0.25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3" x14ac:dyDescent="0.35">
      <c r="B61" s="139" t="s">
        <v>17</v>
      </c>
      <c r="C61" s="67"/>
      <c r="D61" s="177"/>
      <c r="E61" s="67"/>
      <c r="F61" s="178"/>
      <c r="G61" s="67"/>
      <c r="H61" s="177"/>
      <c r="I61" s="67"/>
      <c r="J61" s="178"/>
      <c r="K61" s="67"/>
      <c r="L61" s="177"/>
      <c r="M61" s="67"/>
      <c r="N61" s="179"/>
      <c r="O61" s="67"/>
      <c r="P61" s="177"/>
      <c r="Q61" s="67"/>
      <c r="R61" s="178"/>
      <c r="S61" s="67"/>
      <c r="T61" s="177"/>
      <c r="U61" s="67"/>
      <c r="V61" s="179"/>
      <c r="W61" s="67"/>
      <c r="X61" s="177"/>
      <c r="Y61" s="67"/>
    </row>
    <row r="62" spans="1:25" x14ac:dyDescent="0.25"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</row>
    <row r="63" spans="1:25" x14ac:dyDescent="0.25">
      <c r="B63" s="139" t="s">
        <v>19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</row>
    <row r="64" spans="1:25" ht="13" x14ac:dyDescent="0.35">
      <c r="B64" s="139" t="s">
        <v>128</v>
      </c>
      <c r="C64" s="67"/>
      <c r="D64" s="177"/>
      <c r="E64" s="67"/>
      <c r="F64" s="178"/>
      <c r="G64" s="67"/>
      <c r="H64" s="177"/>
      <c r="I64" s="67"/>
      <c r="J64" s="178"/>
      <c r="K64" s="67"/>
      <c r="L64" s="177"/>
      <c r="M64" s="67"/>
      <c r="N64" s="179"/>
      <c r="O64" s="67"/>
      <c r="P64" s="177"/>
      <c r="Q64" s="67"/>
      <c r="R64" s="178"/>
      <c r="S64" s="67"/>
      <c r="T64" s="177"/>
      <c r="U64" s="67"/>
      <c r="V64" s="179"/>
      <c r="W64" s="67"/>
      <c r="X64" s="177"/>
      <c r="Y64" s="67"/>
    </row>
    <row r="65" spans="2:25" ht="13" x14ac:dyDescent="0.35"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</row>
    <row r="66" spans="2:25" ht="13" x14ac:dyDescent="0.35">
      <c r="B66" s="139" t="s">
        <v>21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</row>
    <row r="67" spans="2:25" ht="13" x14ac:dyDescent="0.35">
      <c r="B67" s="139" t="s">
        <v>129</v>
      </c>
      <c r="C67" s="67"/>
      <c r="D67" s="177"/>
      <c r="E67" s="67"/>
      <c r="F67" s="178"/>
      <c r="G67" s="67"/>
      <c r="H67" s="177"/>
      <c r="I67" s="67"/>
      <c r="J67" s="178"/>
      <c r="K67" s="67"/>
      <c r="L67" s="177"/>
      <c r="M67" s="67"/>
      <c r="N67" s="179"/>
      <c r="O67" s="67"/>
      <c r="P67" s="177"/>
      <c r="Q67" s="67"/>
      <c r="R67" s="178"/>
      <c r="S67" s="67"/>
      <c r="T67" s="177"/>
      <c r="U67" s="67"/>
      <c r="V67" s="179"/>
      <c r="W67" s="67"/>
      <c r="X67" s="177"/>
      <c r="Y67" s="67"/>
    </row>
    <row r="68" spans="2:25" x14ac:dyDescent="0.25"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</row>
    <row r="69" spans="2:25" x14ac:dyDescent="0.25">
      <c r="B69" s="139" t="s">
        <v>23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</row>
    <row r="70" spans="2:25" ht="13" x14ac:dyDescent="0.35">
      <c r="B70" s="139" t="s">
        <v>129</v>
      </c>
      <c r="C70" s="67"/>
      <c r="D70" s="177"/>
      <c r="E70" s="67"/>
      <c r="F70" s="178"/>
      <c r="G70" s="67"/>
      <c r="H70" s="177"/>
      <c r="I70" s="67"/>
      <c r="J70" s="178"/>
      <c r="K70" s="67"/>
      <c r="L70" s="177"/>
      <c r="M70" s="67"/>
      <c r="N70" s="179"/>
      <c r="O70" s="67"/>
      <c r="P70" s="177"/>
      <c r="Q70" s="67"/>
      <c r="R70" s="178"/>
      <c r="S70" s="67"/>
      <c r="T70" s="177"/>
      <c r="U70" s="67"/>
      <c r="V70" s="179"/>
      <c r="W70" s="67"/>
      <c r="X70" s="177"/>
      <c r="Y70" s="67"/>
    </row>
    <row r="71" spans="2:25" ht="13" x14ac:dyDescent="0.35"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</row>
    <row r="72" spans="2:25" ht="13" x14ac:dyDescent="0.35">
      <c r="B72" s="139" t="s">
        <v>25</v>
      </c>
      <c r="C72" s="67"/>
      <c r="D72" s="177"/>
      <c r="E72" s="67"/>
      <c r="F72" s="178"/>
      <c r="G72" s="67"/>
      <c r="H72" s="177"/>
      <c r="I72" s="67"/>
      <c r="J72" s="178"/>
      <c r="K72" s="67"/>
      <c r="L72" s="177"/>
      <c r="M72" s="67"/>
      <c r="N72" s="179"/>
      <c r="O72" s="67"/>
      <c r="P72" s="177"/>
      <c r="Q72" s="67"/>
      <c r="R72" s="178"/>
      <c r="S72" s="67"/>
      <c r="T72" s="177"/>
      <c r="U72" s="67"/>
      <c r="V72" s="179"/>
      <c r="W72" s="67"/>
      <c r="X72" s="177"/>
      <c r="Y72" s="67"/>
    </row>
    <row r="73" spans="2:25" ht="13" x14ac:dyDescent="0.35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</sheetData>
  <sheetProtection password="A575" sheet="1" objects="1" scenarios="1" selectLockedCells="1"/>
  <dataValidations count="2">
    <dataValidation type="decimal" errorStyle="warning" allowBlank="1" showErrorMessage="1" errorTitle="Invalid Data" error="Only Numers allowed" sqref="C40:Y51 C61:Y72">
      <formula1>0</formula1>
      <formula2>9.99999999999999E+36</formula2>
    </dataValidation>
    <dataValidation type="decimal" errorStyle="warning" allowBlank="1" showInputMessage="1" showErrorMessage="1" errorTitle="Invalid Data" error="Only numbers (whole or decimal) allowed" sqref="C19:Y30">
      <formula1>0</formula1>
      <formula2>9.99999999999999E+56</formula2>
    </dataValidation>
  </dataValidations>
  <printOptions horizontalCentered="1" gridLinesSet="0"/>
  <pageMargins left="0" right="0" top="0.31" bottom="0.55000000000000004" header="0.17" footer="0.2800000000000000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  <pageSetUpPr fitToPage="1"/>
  </sheetPr>
  <dimension ref="A2:L34"/>
  <sheetViews>
    <sheetView showGridLines="0" topLeftCell="A31" zoomScale="110" zoomScaleNormal="110" workbookViewId="0">
      <selection activeCell="I17" sqref="I17"/>
    </sheetView>
  </sheetViews>
  <sheetFormatPr defaultColWidth="8.8984375" defaultRowHeight="10.5" x14ac:dyDescent="0.25"/>
  <cols>
    <col min="1" max="5" width="8.8984375" style="110" customWidth="1"/>
    <col min="6" max="6" width="3.59765625" style="110" customWidth="1"/>
    <col min="7" max="7" width="4" style="110" hidden="1" customWidth="1"/>
    <col min="8" max="8" width="12" style="110" customWidth="1"/>
    <col min="9" max="9" width="31.69921875" style="110" customWidth="1"/>
    <col min="10" max="16384" width="8.8984375" style="110"/>
  </cols>
  <sheetData>
    <row r="2" spans="1:12" x14ac:dyDescent="0.25">
      <c r="F2" s="109"/>
      <c r="I2" s="156" t="s">
        <v>122</v>
      </c>
    </row>
    <row r="3" spans="1:12" ht="13" x14ac:dyDescent="0.35">
      <c r="A3" s="107"/>
      <c r="B3" s="107"/>
      <c r="C3" s="107"/>
      <c r="D3" s="107"/>
      <c r="E3" s="107"/>
      <c r="F3" s="74"/>
      <c r="G3" s="107"/>
      <c r="H3" s="107"/>
      <c r="I3" s="107"/>
      <c r="J3" s="107"/>
      <c r="K3" s="74"/>
      <c r="L3" s="107"/>
    </row>
    <row r="4" spans="1:12" x14ac:dyDescent="0.25">
      <c r="A4" s="188" t="s">
        <v>0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2" x14ac:dyDescent="0.25">
      <c r="A5" s="147" t="s">
        <v>102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2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2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10" spans="1:12" ht="13" x14ac:dyDescent="0.35">
      <c r="A10" s="119" t="s">
        <v>83</v>
      </c>
      <c r="H10" s="74"/>
      <c r="I10" s="120" t="s">
        <v>84</v>
      </c>
      <c r="J10" s="107"/>
      <c r="K10" s="107"/>
    </row>
    <row r="12" spans="1:12" ht="13" x14ac:dyDescent="0.35">
      <c r="H12" s="74"/>
      <c r="I12" s="189"/>
    </row>
    <row r="13" spans="1:12" ht="13" x14ac:dyDescent="0.35">
      <c r="A13" s="110" t="s">
        <v>85</v>
      </c>
      <c r="D13" s="190" t="s">
        <v>86</v>
      </c>
      <c r="E13" s="74"/>
      <c r="H13" s="74"/>
      <c r="I13" s="192">
        <f>I15+I17</f>
        <v>0</v>
      </c>
    </row>
    <row r="14" spans="1:12" ht="13" x14ac:dyDescent="0.35">
      <c r="E14" s="74"/>
      <c r="H14" s="74"/>
      <c r="I14" s="189"/>
    </row>
    <row r="15" spans="1:12" ht="13" x14ac:dyDescent="0.35">
      <c r="D15" s="190" t="s">
        <v>124</v>
      </c>
      <c r="E15" s="74"/>
      <c r="H15" s="74"/>
      <c r="I15" s="69"/>
    </row>
    <row r="16" spans="1:12" ht="13" x14ac:dyDescent="0.35">
      <c r="E16" s="74"/>
      <c r="H16" s="74"/>
      <c r="I16" s="189"/>
    </row>
    <row r="17" spans="1:11" ht="13" x14ac:dyDescent="0.35">
      <c r="D17" s="190" t="s">
        <v>125</v>
      </c>
      <c r="E17" s="74"/>
      <c r="H17" s="74"/>
      <c r="I17" s="69"/>
    </row>
    <row r="18" spans="1:11" ht="13" x14ac:dyDescent="0.35">
      <c r="I18" s="189"/>
    </row>
    <row r="19" spans="1:11" ht="13" x14ac:dyDescent="0.35">
      <c r="I19" s="189"/>
    </row>
    <row r="20" spans="1:11" ht="13" x14ac:dyDescent="0.35">
      <c r="H20" s="74"/>
      <c r="I20" s="191"/>
    </row>
    <row r="21" spans="1:11" ht="13" x14ac:dyDescent="0.35">
      <c r="H21" s="74"/>
      <c r="I21" s="189"/>
    </row>
    <row r="22" spans="1:11" ht="14.25" customHeight="1" x14ac:dyDescent="0.35">
      <c r="A22" s="119" t="s">
        <v>94</v>
      </c>
      <c r="H22" s="74"/>
      <c r="I22" s="69"/>
      <c r="J22" s="152"/>
      <c r="K22" s="152"/>
    </row>
    <row r="26" spans="1:11" x14ac:dyDescent="0.25">
      <c r="A26" s="110" t="s">
        <v>87</v>
      </c>
      <c r="H26" s="110" t="s">
        <v>127</v>
      </c>
    </row>
    <row r="27" spans="1:11" x14ac:dyDescent="0.25">
      <c r="A27" s="107" t="s">
        <v>88</v>
      </c>
      <c r="B27" s="107"/>
      <c r="C27" s="107"/>
      <c r="D27" s="107"/>
      <c r="H27" s="107" t="s">
        <v>89</v>
      </c>
      <c r="I27" s="107"/>
      <c r="J27" s="107"/>
      <c r="K27" s="107"/>
    </row>
    <row r="28" spans="1:11" x14ac:dyDescent="0.25">
      <c r="A28" s="107" t="s">
        <v>90</v>
      </c>
      <c r="B28" s="107"/>
      <c r="C28" s="107"/>
      <c r="D28" s="107"/>
    </row>
    <row r="32" spans="1:11" x14ac:dyDescent="0.25">
      <c r="A32" s="110" t="s">
        <v>87</v>
      </c>
      <c r="H32" s="110" t="s">
        <v>127</v>
      </c>
    </row>
    <row r="33" spans="1:11" x14ac:dyDescent="0.25">
      <c r="A33" s="107" t="s">
        <v>91</v>
      </c>
      <c r="B33" s="107"/>
      <c r="C33" s="107"/>
      <c r="D33" s="107"/>
      <c r="H33" s="107" t="s">
        <v>92</v>
      </c>
      <c r="I33" s="107"/>
      <c r="J33" s="107"/>
      <c r="K33" s="107"/>
    </row>
    <row r="34" spans="1:11" x14ac:dyDescent="0.25">
      <c r="A34" s="107" t="s">
        <v>93</v>
      </c>
      <c r="B34" s="107"/>
      <c r="C34" s="107"/>
      <c r="D34" s="107"/>
    </row>
  </sheetData>
  <sheetProtection password="A575" sheet="1" objects="1" scenarios="1" selectLockedCells="1"/>
  <dataValidations count="1">
    <dataValidation type="whole" allowBlank="1" showInputMessage="1" showErrorMessage="1" errorTitle="Invalid Data" error="The data must be a whole number" sqref="I15 I17">
      <formula1>0</formula1>
      <formula2>9.99999999999999E+33</formula2>
    </dataValidation>
  </dataValidations>
  <printOptions horizontalCentered="1" verticalCentered="1" gridLinesSet="0"/>
  <pageMargins left="0" right="0" top="0" bottom="0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F31"/>
  <sheetViews>
    <sheetView showGridLines="0" workbookViewId="0">
      <selection activeCell="D17" sqref="D17"/>
    </sheetView>
  </sheetViews>
  <sheetFormatPr defaultColWidth="9.09765625" defaultRowHeight="13" x14ac:dyDescent="0.3"/>
  <cols>
    <col min="1" max="1" width="2" style="7" customWidth="1"/>
    <col min="2" max="2" width="38.8984375" style="7" customWidth="1"/>
    <col min="3" max="3" width="3" style="7" customWidth="1"/>
    <col min="4" max="4" width="36.296875" style="7" customWidth="1"/>
    <col min="5" max="5" width="1.69921875" style="7" customWidth="1"/>
    <col min="6" max="6" width="9.09765625" style="7"/>
    <col min="7" max="16384" width="9.09765625" style="8"/>
  </cols>
  <sheetData>
    <row r="1" spans="1:6" x14ac:dyDescent="0.3">
      <c r="A1" s="6"/>
      <c r="B1" s="6"/>
      <c r="C1" s="6"/>
      <c r="D1" s="22" t="s">
        <v>123</v>
      </c>
      <c r="E1" s="6"/>
    </row>
    <row r="2" spans="1:6" x14ac:dyDescent="0.3">
      <c r="A2" s="6"/>
      <c r="B2" s="6"/>
      <c r="C2" s="6"/>
      <c r="D2" s="6"/>
      <c r="E2" s="6"/>
    </row>
    <row r="3" spans="1:6" x14ac:dyDescent="0.3">
      <c r="A3" s="6"/>
      <c r="B3" s="6"/>
      <c r="C3" s="6"/>
      <c r="D3" s="6"/>
      <c r="E3" s="6"/>
    </row>
    <row r="4" spans="1:6" s="9" customFormat="1" x14ac:dyDescent="0.3">
      <c r="A4" s="6"/>
      <c r="B4" s="6"/>
      <c r="C4" s="6"/>
      <c r="D4" s="6"/>
      <c r="E4" s="6"/>
      <c r="F4" s="6"/>
    </row>
    <row r="5" spans="1:6" s="9" customFormat="1" ht="26.25" customHeight="1" x14ac:dyDescent="0.3">
      <c r="A5" s="6"/>
      <c r="B5" s="70"/>
      <c r="C5" s="6"/>
      <c r="D5" s="72"/>
      <c r="E5" s="6"/>
      <c r="F5" s="6"/>
    </row>
    <row r="6" spans="1:6" s="9" customFormat="1" x14ac:dyDescent="0.3">
      <c r="A6" s="6"/>
      <c r="B6" s="10" t="s">
        <v>30</v>
      </c>
      <c r="C6" s="11"/>
      <c r="D6" s="12" t="s">
        <v>31</v>
      </c>
      <c r="E6" s="13"/>
      <c r="F6" s="7"/>
    </row>
    <row r="7" spans="1:6" s="9" customFormat="1" x14ac:dyDescent="0.3">
      <c r="A7" s="6"/>
      <c r="B7" s="14" t="s">
        <v>32</v>
      </c>
      <c r="C7" s="15"/>
      <c r="D7" s="15"/>
      <c r="E7" s="15"/>
      <c r="F7" s="7"/>
    </row>
    <row r="8" spans="1:6" s="9" customFormat="1" x14ac:dyDescent="0.3">
      <c r="A8" s="6"/>
      <c r="B8" s="15"/>
      <c r="C8" s="15"/>
      <c r="D8" s="15"/>
      <c r="E8" s="15"/>
      <c r="F8" s="7"/>
    </row>
    <row r="9" spans="1:6" s="9" customFormat="1" x14ac:dyDescent="0.3">
      <c r="A9" s="6"/>
      <c r="B9" s="15"/>
      <c r="C9" s="15"/>
      <c r="D9" s="15"/>
      <c r="E9" s="15"/>
      <c r="F9" s="7"/>
    </row>
    <row r="10" spans="1:6" s="9" customFormat="1" x14ac:dyDescent="0.3">
      <c r="A10" s="6"/>
      <c r="B10" s="15"/>
      <c r="C10" s="15"/>
      <c r="D10" s="15"/>
      <c r="E10" s="15"/>
      <c r="F10" s="7"/>
    </row>
    <row r="11" spans="1:6" s="9" customFormat="1" ht="31.5" customHeight="1" x14ac:dyDescent="0.3">
      <c r="A11" s="6"/>
      <c r="B11" s="71"/>
      <c r="C11" s="15"/>
      <c r="D11" s="71"/>
      <c r="E11" s="15"/>
      <c r="F11" s="7"/>
    </row>
    <row r="12" spans="1:6" s="9" customFormat="1" x14ac:dyDescent="0.3">
      <c r="A12" s="6"/>
      <c r="B12" s="16" t="s">
        <v>33</v>
      </c>
      <c r="C12" s="17"/>
      <c r="D12" s="10" t="s">
        <v>34</v>
      </c>
      <c r="E12" s="11"/>
      <c r="F12" s="7"/>
    </row>
    <row r="13" spans="1:6" s="9" customFormat="1" ht="12.75" customHeight="1" x14ac:dyDescent="0.3">
      <c r="A13" s="6"/>
      <c r="B13" s="14" t="s">
        <v>32</v>
      </c>
      <c r="C13" s="15"/>
      <c r="D13" s="15"/>
      <c r="E13" s="15"/>
      <c r="F13" s="7"/>
    </row>
    <row r="14" spans="1:6" s="9" customFormat="1" x14ac:dyDescent="0.3">
      <c r="A14" s="6"/>
      <c r="B14" s="15"/>
      <c r="C14" s="15"/>
      <c r="D14" s="15"/>
      <c r="E14" s="15"/>
      <c r="F14" s="7"/>
    </row>
    <row r="15" spans="1:6" s="9" customFormat="1" x14ac:dyDescent="0.3">
      <c r="A15" s="6"/>
      <c r="B15" s="15"/>
      <c r="C15" s="15"/>
      <c r="D15" s="15"/>
      <c r="E15" s="15"/>
      <c r="F15" s="7"/>
    </row>
    <row r="16" spans="1:6" s="9" customFormat="1" x14ac:dyDescent="0.3">
      <c r="A16" s="6"/>
      <c r="B16" s="15"/>
      <c r="C16" s="15"/>
      <c r="D16" s="15"/>
      <c r="E16" s="15"/>
      <c r="F16" s="7"/>
    </row>
    <row r="17" spans="1:6" s="9" customFormat="1" ht="30" customHeight="1" x14ac:dyDescent="0.3">
      <c r="A17" s="6"/>
      <c r="B17" s="71"/>
      <c r="C17" s="15"/>
      <c r="D17" s="71"/>
      <c r="E17" s="15"/>
      <c r="F17" s="7"/>
    </row>
    <row r="18" spans="1:6" s="9" customFormat="1" x14ac:dyDescent="0.3">
      <c r="A18" s="6"/>
      <c r="B18" s="16" t="s">
        <v>35</v>
      </c>
      <c r="C18" s="17"/>
      <c r="D18" s="14" t="s">
        <v>36</v>
      </c>
      <c r="E18" s="18"/>
      <c r="F18" s="7"/>
    </row>
    <row r="19" spans="1:6" s="9" customFormat="1" ht="12.75" customHeight="1" x14ac:dyDescent="0.3">
      <c r="A19" s="6"/>
      <c r="B19" s="19" t="s">
        <v>37</v>
      </c>
      <c r="C19" s="6"/>
      <c r="D19" s="6"/>
      <c r="E19" s="6"/>
      <c r="F19" s="7"/>
    </row>
    <row r="20" spans="1:6" s="9" customFormat="1" x14ac:dyDescent="0.3">
      <c r="A20" s="6"/>
      <c r="B20" s="20"/>
      <c r="C20" s="6"/>
      <c r="D20" s="6"/>
      <c r="E20" s="6"/>
      <c r="F20" s="7"/>
    </row>
    <row r="21" spans="1:6" s="9" customFormat="1" x14ac:dyDescent="0.3">
      <c r="A21" s="6"/>
      <c r="B21" s="21"/>
      <c r="C21" s="17"/>
      <c r="D21" s="18"/>
      <c r="E21" s="18"/>
      <c r="F21" s="7"/>
    </row>
    <row r="22" spans="1:6" s="9" customFormat="1" x14ac:dyDescent="0.3">
      <c r="A22" s="6"/>
      <c r="B22" s="6"/>
      <c r="C22" s="6"/>
      <c r="D22" s="6"/>
      <c r="E22" s="6"/>
      <c r="F22" s="6"/>
    </row>
    <row r="23" spans="1:6" s="9" customFormat="1" x14ac:dyDescent="0.3">
      <c r="A23" s="6"/>
      <c r="B23" s="6"/>
      <c r="C23" s="6"/>
      <c r="D23" s="6"/>
      <c r="E23" s="6"/>
      <c r="F23" s="6"/>
    </row>
    <row r="24" spans="1:6" s="9" customFormat="1" x14ac:dyDescent="0.3">
      <c r="A24" s="6"/>
      <c r="B24" s="6"/>
      <c r="C24" s="6"/>
      <c r="D24" s="6"/>
      <c r="E24" s="6"/>
      <c r="F24" s="6"/>
    </row>
    <row r="25" spans="1:6" s="9" customFormat="1" ht="12.75" customHeight="1" x14ac:dyDescent="0.3">
      <c r="A25" s="6"/>
      <c r="B25" s="6"/>
      <c r="C25" s="6"/>
      <c r="D25" s="6"/>
      <c r="E25" s="6"/>
      <c r="F25" s="6"/>
    </row>
    <row r="26" spans="1:6" s="9" customFormat="1" ht="12.75" customHeight="1" x14ac:dyDescent="0.3">
      <c r="A26" s="6"/>
      <c r="B26" s="6"/>
      <c r="C26" s="6"/>
      <c r="D26" s="6"/>
      <c r="E26" s="6"/>
      <c r="F26" s="6"/>
    </row>
    <row r="27" spans="1:6" s="9" customFormat="1" x14ac:dyDescent="0.3">
      <c r="A27" s="6"/>
      <c r="B27" s="6"/>
      <c r="C27" s="6"/>
      <c r="D27" s="6"/>
      <c r="E27" s="6"/>
      <c r="F27" s="6"/>
    </row>
    <row r="28" spans="1:6" s="9" customFormat="1" x14ac:dyDescent="0.3">
      <c r="A28" s="6"/>
      <c r="B28" s="6"/>
      <c r="C28" s="6"/>
      <c r="D28" s="6"/>
      <c r="E28" s="6"/>
      <c r="F28" s="6"/>
    </row>
    <row r="29" spans="1:6" s="9" customFormat="1" x14ac:dyDescent="0.3">
      <c r="A29" s="6"/>
      <c r="B29" s="6"/>
      <c r="C29" s="6"/>
      <c r="D29" s="6"/>
      <c r="E29" s="6"/>
      <c r="F29" s="6"/>
    </row>
    <row r="30" spans="1:6" s="9" customFormat="1" x14ac:dyDescent="0.3">
      <c r="A30" s="6"/>
      <c r="B30" s="6"/>
      <c r="C30" s="6"/>
      <c r="D30" s="6"/>
      <c r="E30" s="6"/>
      <c r="F30" s="6"/>
    </row>
    <row r="31" spans="1:6" s="9" customFormat="1" x14ac:dyDescent="0.3">
      <c r="A31" s="6"/>
      <c r="B31" s="6"/>
      <c r="C31" s="6"/>
      <c r="D31" s="6"/>
      <c r="E31" s="6"/>
      <c r="F31" s="6"/>
    </row>
  </sheetData>
  <sheetProtection password="A575" sheet="1" objects="1" scenarios="1" selectLockedCells="1"/>
  <pageMargins left="0.75" right="0.75" top="1" bottom="1" header="0.5" footer="0.5"/>
  <pageSetup paperSize="9" orientation="portrait" r:id="rId1"/>
  <headerFooter alignWithMargins="0"/>
  <rowBreaks count="1" manualBreakCount="1">
    <brk id="28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C1:I26"/>
  <sheetViews>
    <sheetView workbookViewId="0">
      <selection activeCell="C1" sqref="C1"/>
    </sheetView>
  </sheetViews>
  <sheetFormatPr defaultRowHeight="18" customHeight="1" x14ac:dyDescent="0.35"/>
  <cols>
    <col min="3" max="3" width="48.69921875" customWidth="1"/>
    <col min="4" max="4" width="12.8984375" customWidth="1"/>
    <col min="8" max="8" width="26.09765625" customWidth="1"/>
  </cols>
  <sheetData>
    <row r="1" spans="3:9" ht="18" customHeight="1" x14ac:dyDescent="0.35">
      <c r="C1" s="63" t="s">
        <v>719</v>
      </c>
      <c r="D1" s="63" t="s">
        <v>720</v>
      </c>
    </row>
    <row r="2" spans="3:9" ht="18" customHeight="1" x14ac:dyDescent="0.35">
      <c r="C2" s="200" t="s">
        <v>815</v>
      </c>
      <c r="D2" s="201" t="s">
        <v>774</v>
      </c>
      <c r="H2" s="199"/>
      <c r="I2" s="64"/>
    </row>
    <row r="3" spans="3:9" ht="18" customHeight="1" x14ac:dyDescent="0.35">
      <c r="C3" s="200" t="s">
        <v>814</v>
      </c>
      <c r="D3" s="201" t="s">
        <v>721</v>
      </c>
      <c r="H3" s="200"/>
      <c r="I3" s="64"/>
    </row>
    <row r="4" spans="3:9" ht="18" customHeight="1" x14ac:dyDescent="0.35">
      <c r="C4" s="200" t="s">
        <v>775</v>
      </c>
      <c r="D4" s="201" t="s">
        <v>776</v>
      </c>
      <c r="H4" s="200"/>
      <c r="I4" s="64"/>
    </row>
    <row r="5" spans="3:9" ht="18" customHeight="1" x14ac:dyDescent="0.35">
      <c r="C5" s="200" t="s">
        <v>816</v>
      </c>
      <c r="D5" s="201" t="s">
        <v>723</v>
      </c>
      <c r="H5" s="200"/>
      <c r="I5" s="64"/>
    </row>
    <row r="6" spans="3:9" ht="18" customHeight="1" x14ac:dyDescent="0.35">
      <c r="C6" s="200" t="s">
        <v>817</v>
      </c>
      <c r="D6" s="201" t="s">
        <v>724</v>
      </c>
      <c r="H6" s="200"/>
      <c r="I6" s="64"/>
    </row>
    <row r="7" spans="3:9" ht="18" customHeight="1" x14ac:dyDescent="0.35">
      <c r="C7" s="200" t="s">
        <v>779</v>
      </c>
      <c r="D7" s="201" t="s">
        <v>780</v>
      </c>
      <c r="H7" s="200"/>
      <c r="I7" s="64"/>
    </row>
    <row r="8" spans="3:9" ht="18" customHeight="1" x14ac:dyDescent="0.35">
      <c r="C8" s="200" t="s">
        <v>777</v>
      </c>
      <c r="D8" s="201" t="s">
        <v>778</v>
      </c>
      <c r="H8" s="200"/>
      <c r="I8" s="64"/>
    </row>
    <row r="9" spans="3:9" ht="18" customHeight="1" x14ac:dyDescent="0.35">
      <c r="C9" s="200" t="s">
        <v>819</v>
      </c>
      <c r="D9" s="201" t="s">
        <v>726</v>
      </c>
      <c r="H9" s="200"/>
      <c r="I9" s="64"/>
    </row>
    <row r="10" spans="3:9" ht="18" customHeight="1" x14ac:dyDescent="0.35">
      <c r="C10" s="203" t="s">
        <v>837</v>
      </c>
      <c r="D10" s="204" t="s">
        <v>832</v>
      </c>
      <c r="H10" s="200"/>
      <c r="I10" s="64"/>
    </row>
    <row r="11" spans="3:9" ht="18" customHeight="1" x14ac:dyDescent="0.35">
      <c r="C11" s="202" t="s">
        <v>785</v>
      </c>
      <c r="D11" s="201" t="s">
        <v>786</v>
      </c>
      <c r="H11" s="198"/>
      <c r="I11" s="64"/>
    </row>
    <row r="12" spans="3:9" ht="18" customHeight="1" x14ac:dyDescent="0.35">
      <c r="C12" s="200" t="s">
        <v>818</v>
      </c>
      <c r="D12" s="201" t="s">
        <v>725</v>
      </c>
      <c r="H12" s="200"/>
      <c r="I12" s="64"/>
    </row>
    <row r="13" spans="3:9" ht="18" customHeight="1" x14ac:dyDescent="0.35">
      <c r="C13" s="200" t="s">
        <v>820</v>
      </c>
      <c r="D13" s="201" t="s">
        <v>783</v>
      </c>
      <c r="H13" s="200"/>
      <c r="I13" s="64"/>
    </row>
    <row r="14" spans="3:9" ht="18" customHeight="1" x14ac:dyDescent="0.35">
      <c r="C14" s="200" t="s">
        <v>822</v>
      </c>
      <c r="D14" s="201" t="s">
        <v>781</v>
      </c>
      <c r="H14" s="200"/>
      <c r="I14" s="64"/>
    </row>
    <row r="15" spans="3:9" ht="18" customHeight="1" x14ac:dyDescent="0.35">
      <c r="C15" s="200" t="s">
        <v>821</v>
      </c>
      <c r="D15" s="201" t="s">
        <v>727</v>
      </c>
      <c r="H15" s="200"/>
      <c r="I15" s="64"/>
    </row>
    <row r="16" spans="3:9" ht="18" customHeight="1" x14ac:dyDescent="0.35">
      <c r="C16" s="202" t="s">
        <v>813</v>
      </c>
      <c r="D16" s="201" t="s">
        <v>787</v>
      </c>
      <c r="H16" s="198"/>
      <c r="I16" s="64"/>
    </row>
    <row r="17" spans="3:9" ht="18" customHeight="1" x14ac:dyDescent="0.35">
      <c r="C17" s="202" t="s">
        <v>835</v>
      </c>
      <c r="D17" s="201" t="s">
        <v>836</v>
      </c>
      <c r="H17" s="198"/>
      <c r="I17" s="64"/>
    </row>
    <row r="18" spans="3:9" ht="18" customHeight="1" x14ac:dyDescent="0.35">
      <c r="C18" s="200" t="s">
        <v>828</v>
      </c>
      <c r="D18" s="201" t="s">
        <v>784</v>
      </c>
      <c r="H18" s="200"/>
      <c r="I18" s="64"/>
    </row>
    <row r="19" spans="3:9" ht="18" customHeight="1" x14ac:dyDescent="0.35">
      <c r="C19" s="200" t="s">
        <v>823</v>
      </c>
      <c r="D19" s="201" t="s">
        <v>782</v>
      </c>
      <c r="H19" s="200"/>
      <c r="I19" s="64"/>
    </row>
    <row r="20" spans="3:9" ht="18" customHeight="1" x14ac:dyDescent="0.35">
      <c r="C20" s="200" t="s">
        <v>824</v>
      </c>
      <c r="D20" s="201" t="s">
        <v>728</v>
      </c>
      <c r="H20" s="200"/>
      <c r="I20" s="64"/>
    </row>
    <row r="21" spans="3:9" ht="18" customHeight="1" x14ac:dyDescent="0.35">
      <c r="C21" s="200" t="s">
        <v>825</v>
      </c>
      <c r="D21" s="201" t="s">
        <v>729</v>
      </c>
      <c r="H21" s="200"/>
      <c r="I21" s="64"/>
    </row>
    <row r="22" spans="3:9" ht="18" customHeight="1" x14ac:dyDescent="0.35">
      <c r="C22" s="200" t="s">
        <v>826</v>
      </c>
      <c r="D22" s="201" t="s">
        <v>827</v>
      </c>
      <c r="H22" s="200"/>
      <c r="I22" s="64"/>
    </row>
    <row r="23" spans="3:9" ht="18" customHeight="1" x14ac:dyDescent="0.35">
      <c r="C23" s="200" t="s">
        <v>730</v>
      </c>
      <c r="D23" s="201" t="s">
        <v>731</v>
      </c>
      <c r="H23" s="200"/>
      <c r="I23" s="64"/>
    </row>
    <row r="24" spans="3:9" ht="18" customHeight="1" x14ac:dyDescent="0.35">
      <c r="C24" s="200" t="s">
        <v>829</v>
      </c>
      <c r="D24" s="201" t="s">
        <v>830</v>
      </c>
      <c r="H24" s="200"/>
      <c r="I24" s="64"/>
    </row>
    <row r="25" spans="3:9" ht="18" customHeight="1" x14ac:dyDescent="0.35">
      <c r="C25" s="200" t="s">
        <v>833</v>
      </c>
      <c r="D25" s="201" t="s">
        <v>834</v>
      </c>
      <c r="H25" s="200"/>
      <c r="I25" s="64"/>
    </row>
    <row r="26" spans="3:9" ht="18" customHeight="1" x14ac:dyDescent="0.35">
      <c r="C26" s="200" t="s">
        <v>831</v>
      </c>
      <c r="D26" s="201" t="s">
        <v>722</v>
      </c>
      <c r="H26" s="198"/>
      <c r="I26" s="64"/>
    </row>
  </sheetData>
  <sheetProtection password="A575" sheet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2"/>
  <sheetViews>
    <sheetView workbookViewId="0">
      <selection activeCell="E13" sqref="E13"/>
    </sheetView>
  </sheetViews>
  <sheetFormatPr defaultRowHeight="13" x14ac:dyDescent="0.35"/>
  <sheetData>
    <row r="1" spans="1:3" x14ac:dyDescent="0.35">
      <c r="A1" s="84" t="s">
        <v>760</v>
      </c>
      <c r="B1" s="84" t="s">
        <v>759</v>
      </c>
      <c r="C1" s="84" t="s">
        <v>761</v>
      </c>
    </row>
    <row r="2" spans="1:3" x14ac:dyDescent="0.35">
      <c r="A2" s="86" t="s">
        <v>762</v>
      </c>
      <c r="B2" s="86" t="s">
        <v>804</v>
      </c>
      <c r="C2">
        <v>13</v>
      </c>
    </row>
    <row r="3" spans="1:3" x14ac:dyDescent="0.35">
      <c r="A3" s="86" t="s">
        <v>763</v>
      </c>
      <c r="B3" s="86" t="s">
        <v>805</v>
      </c>
      <c r="C3">
        <v>14</v>
      </c>
    </row>
    <row r="4" spans="1:3" x14ac:dyDescent="0.35">
      <c r="A4" s="86" t="s">
        <v>764</v>
      </c>
      <c r="B4" s="86" t="s">
        <v>806</v>
      </c>
      <c r="C4">
        <v>15</v>
      </c>
    </row>
    <row r="5" spans="1:3" x14ac:dyDescent="0.35">
      <c r="A5" s="86" t="s">
        <v>765</v>
      </c>
      <c r="B5" s="86" t="s">
        <v>807</v>
      </c>
      <c r="C5">
        <v>16</v>
      </c>
    </row>
    <row r="6" spans="1:3" x14ac:dyDescent="0.35">
      <c r="A6" s="86" t="s">
        <v>766</v>
      </c>
      <c r="B6" s="86" t="s">
        <v>808</v>
      </c>
      <c r="C6">
        <v>17</v>
      </c>
    </row>
    <row r="7" spans="1:3" x14ac:dyDescent="0.35">
      <c r="A7" s="86" t="s">
        <v>767</v>
      </c>
      <c r="B7" s="86" t="s">
        <v>809</v>
      </c>
      <c r="C7">
        <v>18</v>
      </c>
    </row>
    <row r="8" spans="1:3" x14ac:dyDescent="0.35">
      <c r="A8" s="86" t="s">
        <v>768</v>
      </c>
      <c r="B8" s="86" t="s">
        <v>810</v>
      </c>
      <c r="C8">
        <v>19</v>
      </c>
    </row>
    <row r="9" spans="1:3" x14ac:dyDescent="0.35">
      <c r="A9" s="86" t="s">
        <v>769</v>
      </c>
      <c r="B9" s="86" t="s">
        <v>811</v>
      </c>
      <c r="C9">
        <v>20</v>
      </c>
    </row>
    <row r="10" spans="1:3" x14ac:dyDescent="0.35">
      <c r="A10" s="86" t="s">
        <v>770</v>
      </c>
      <c r="B10" s="86" t="s">
        <v>812</v>
      </c>
      <c r="C10">
        <v>21</v>
      </c>
    </row>
    <row r="11" spans="1:3" x14ac:dyDescent="0.35">
      <c r="A11" s="85">
        <v>10</v>
      </c>
      <c r="B11" s="86" t="s">
        <v>771</v>
      </c>
      <c r="C11">
        <v>22</v>
      </c>
    </row>
    <row r="12" spans="1:3" x14ac:dyDescent="0.35">
      <c r="A12" s="85">
        <v>11</v>
      </c>
      <c r="B12" s="86" t="s">
        <v>772</v>
      </c>
      <c r="C12">
        <v>23</v>
      </c>
    </row>
    <row r="13" spans="1:3" x14ac:dyDescent="0.35">
      <c r="A13" s="85">
        <v>12</v>
      </c>
      <c r="B13" s="86" t="s">
        <v>773</v>
      </c>
      <c r="C13">
        <v>24</v>
      </c>
    </row>
    <row r="14" spans="1:3" x14ac:dyDescent="0.35">
      <c r="A14" s="85">
        <v>13</v>
      </c>
      <c r="C14">
        <v>25</v>
      </c>
    </row>
    <row r="15" spans="1:3" x14ac:dyDescent="0.35">
      <c r="A15" s="85">
        <v>14</v>
      </c>
      <c r="C15">
        <v>26</v>
      </c>
    </row>
    <row r="16" spans="1:3" x14ac:dyDescent="0.35">
      <c r="A16" s="85">
        <v>15</v>
      </c>
      <c r="C16">
        <v>27</v>
      </c>
    </row>
    <row r="17" spans="1:3" x14ac:dyDescent="0.35">
      <c r="A17" s="85">
        <v>16</v>
      </c>
      <c r="C17">
        <v>28</v>
      </c>
    </row>
    <row r="18" spans="1:3" x14ac:dyDescent="0.35">
      <c r="A18" s="85">
        <v>17</v>
      </c>
      <c r="C18">
        <v>29</v>
      </c>
    </row>
    <row r="19" spans="1:3" x14ac:dyDescent="0.35">
      <c r="A19" s="85">
        <v>18</v>
      </c>
      <c r="C19">
        <v>30</v>
      </c>
    </row>
    <row r="20" spans="1:3" x14ac:dyDescent="0.35">
      <c r="A20" s="85">
        <v>19</v>
      </c>
    </row>
    <row r="21" spans="1:3" x14ac:dyDescent="0.35">
      <c r="A21" s="85">
        <v>20</v>
      </c>
    </row>
    <row r="22" spans="1:3" x14ac:dyDescent="0.35">
      <c r="A22" s="85">
        <v>21</v>
      </c>
    </row>
    <row r="23" spans="1:3" x14ac:dyDescent="0.35">
      <c r="A23" s="85">
        <v>22</v>
      </c>
    </row>
    <row r="24" spans="1:3" x14ac:dyDescent="0.35">
      <c r="A24" s="85">
        <v>23</v>
      </c>
    </row>
    <row r="25" spans="1:3" x14ac:dyDescent="0.35">
      <c r="A25" s="85">
        <v>24</v>
      </c>
    </row>
    <row r="26" spans="1:3" x14ac:dyDescent="0.35">
      <c r="A26" s="85">
        <v>25</v>
      </c>
    </row>
    <row r="27" spans="1:3" x14ac:dyDescent="0.35">
      <c r="A27" s="85">
        <v>26</v>
      </c>
    </row>
    <row r="28" spans="1:3" x14ac:dyDescent="0.35">
      <c r="A28" s="85">
        <v>27</v>
      </c>
    </row>
    <row r="29" spans="1:3" x14ac:dyDescent="0.35">
      <c r="A29" s="85">
        <v>28</v>
      </c>
    </row>
    <row r="30" spans="1:3" x14ac:dyDescent="0.35">
      <c r="A30" s="85">
        <v>29</v>
      </c>
    </row>
    <row r="31" spans="1:3" x14ac:dyDescent="0.35">
      <c r="A31" s="85">
        <v>30</v>
      </c>
    </row>
    <row r="32" spans="1:3" x14ac:dyDescent="0.35">
      <c r="A32" s="85">
        <v>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568"/>
  <sheetViews>
    <sheetView topLeftCell="A528" workbookViewId="0">
      <selection activeCell="F24" sqref="F24"/>
    </sheetView>
  </sheetViews>
  <sheetFormatPr defaultRowHeight="13.5" x14ac:dyDescent="0.35"/>
  <cols>
    <col min="1" max="1" width="56.8984375" style="55" bestFit="1" customWidth="1"/>
  </cols>
  <sheetData>
    <row r="1" spans="1:1" ht="15.5" x14ac:dyDescent="0.35">
      <c r="A1" s="56" t="s">
        <v>133</v>
      </c>
    </row>
    <row r="2" spans="1:1" ht="15.5" x14ac:dyDescent="0.35">
      <c r="A2" s="56" t="s">
        <v>134</v>
      </c>
    </row>
    <row r="3" spans="1:1" ht="15.5" x14ac:dyDescent="0.35">
      <c r="A3" s="56" t="s">
        <v>135</v>
      </c>
    </row>
    <row r="4" spans="1:1" ht="15.5" x14ac:dyDescent="0.35">
      <c r="A4" s="56" t="s">
        <v>136</v>
      </c>
    </row>
    <row r="5" spans="1:1" ht="15.5" x14ac:dyDescent="0.35">
      <c r="A5" s="56" t="s">
        <v>137</v>
      </c>
    </row>
    <row r="6" spans="1:1" ht="15.5" x14ac:dyDescent="0.35">
      <c r="A6" s="56" t="s">
        <v>138</v>
      </c>
    </row>
    <row r="7" spans="1:1" ht="15.5" x14ac:dyDescent="0.35">
      <c r="A7" s="56" t="s">
        <v>139</v>
      </c>
    </row>
    <row r="8" spans="1:1" ht="15.5" x14ac:dyDescent="0.35">
      <c r="A8" s="56" t="s">
        <v>140</v>
      </c>
    </row>
    <row r="9" spans="1:1" ht="15.5" x14ac:dyDescent="0.35">
      <c r="A9" s="56" t="s">
        <v>141</v>
      </c>
    </row>
    <row r="10" spans="1:1" ht="15.5" x14ac:dyDescent="0.35">
      <c r="A10" s="56" t="s">
        <v>142</v>
      </c>
    </row>
    <row r="11" spans="1:1" ht="15.5" x14ac:dyDescent="0.35">
      <c r="A11" s="56" t="s">
        <v>143</v>
      </c>
    </row>
    <row r="12" spans="1:1" ht="15.5" x14ac:dyDescent="0.35">
      <c r="A12" s="56" t="s">
        <v>144</v>
      </c>
    </row>
    <row r="13" spans="1:1" ht="15.5" x14ac:dyDescent="0.35">
      <c r="A13" s="56" t="s">
        <v>145</v>
      </c>
    </row>
    <row r="14" spans="1:1" ht="15.5" x14ac:dyDescent="0.35">
      <c r="A14" s="56" t="s">
        <v>146</v>
      </c>
    </row>
    <row r="15" spans="1:1" ht="15.5" x14ac:dyDescent="0.35">
      <c r="A15" s="56" t="s">
        <v>147</v>
      </c>
    </row>
    <row r="16" spans="1:1" ht="15.5" x14ac:dyDescent="0.35">
      <c r="A16" s="56" t="s">
        <v>148</v>
      </c>
    </row>
    <row r="17" spans="1:1" ht="15.5" x14ac:dyDescent="0.35">
      <c r="A17" s="56" t="s">
        <v>149</v>
      </c>
    </row>
    <row r="18" spans="1:1" ht="15.5" x14ac:dyDescent="0.35">
      <c r="A18" s="56" t="s">
        <v>150</v>
      </c>
    </row>
    <row r="19" spans="1:1" ht="15.5" x14ac:dyDescent="0.35">
      <c r="A19" s="56" t="s">
        <v>151</v>
      </c>
    </row>
    <row r="20" spans="1:1" ht="15.5" x14ac:dyDescent="0.35">
      <c r="A20" s="56" t="s">
        <v>152</v>
      </c>
    </row>
    <row r="21" spans="1:1" ht="15.5" x14ac:dyDescent="0.35">
      <c r="A21" s="56" t="s">
        <v>153</v>
      </c>
    </row>
    <row r="22" spans="1:1" ht="15.5" x14ac:dyDescent="0.35">
      <c r="A22" s="56" t="s">
        <v>154</v>
      </c>
    </row>
    <row r="23" spans="1:1" ht="15.5" x14ac:dyDescent="0.35">
      <c r="A23" s="56" t="s">
        <v>155</v>
      </c>
    </row>
    <row r="24" spans="1:1" ht="15.5" x14ac:dyDescent="0.35">
      <c r="A24" s="56" t="s">
        <v>156</v>
      </c>
    </row>
    <row r="25" spans="1:1" ht="15.5" x14ac:dyDescent="0.35">
      <c r="A25" s="56" t="s">
        <v>157</v>
      </c>
    </row>
    <row r="26" spans="1:1" ht="15.5" x14ac:dyDescent="0.35">
      <c r="A26" s="56" t="s">
        <v>158</v>
      </c>
    </row>
    <row r="27" spans="1:1" ht="15.5" x14ac:dyDescent="0.35">
      <c r="A27" s="56" t="s">
        <v>159</v>
      </c>
    </row>
    <row r="28" spans="1:1" ht="15.5" x14ac:dyDescent="0.35">
      <c r="A28" s="56" t="s">
        <v>160</v>
      </c>
    </row>
    <row r="29" spans="1:1" ht="15.5" x14ac:dyDescent="0.35">
      <c r="A29" s="56" t="s">
        <v>161</v>
      </c>
    </row>
    <row r="30" spans="1:1" ht="15.5" x14ac:dyDescent="0.35">
      <c r="A30" s="56" t="s">
        <v>162</v>
      </c>
    </row>
    <row r="31" spans="1:1" ht="15.5" x14ac:dyDescent="0.35">
      <c r="A31" s="56" t="s">
        <v>163</v>
      </c>
    </row>
    <row r="32" spans="1:1" ht="15.5" x14ac:dyDescent="0.35">
      <c r="A32" s="56" t="s">
        <v>164</v>
      </c>
    </row>
    <row r="33" spans="1:1" ht="15.5" x14ac:dyDescent="0.35">
      <c r="A33" s="56" t="s">
        <v>165</v>
      </c>
    </row>
    <row r="34" spans="1:1" ht="15.5" x14ac:dyDescent="0.35">
      <c r="A34" s="56" t="s">
        <v>166</v>
      </c>
    </row>
    <row r="35" spans="1:1" ht="15.5" x14ac:dyDescent="0.35">
      <c r="A35" s="56" t="s">
        <v>167</v>
      </c>
    </row>
    <row r="36" spans="1:1" ht="15.5" x14ac:dyDescent="0.35">
      <c r="A36" s="56" t="s">
        <v>168</v>
      </c>
    </row>
    <row r="37" spans="1:1" ht="15.5" x14ac:dyDescent="0.35">
      <c r="A37" s="56" t="s">
        <v>169</v>
      </c>
    </row>
    <row r="38" spans="1:1" ht="15.5" x14ac:dyDescent="0.35">
      <c r="A38" s="56" t="s">
        <v>170</v>
      </c>
    </row>
    <row r="39" spans="1:1" ht="15.5" x14ac:dyDescent="0.35">
      <c r="A39" s="56" t="s">
        <v>171</v>
      </c>
    </row>
    <row r="40" spans="1:1" ht="15.5" x14ac:dyDescent="0.35">
      <c r="A40" s="56" t="s">
        <v>172</v>
      </c>
    </row>
    <row r="41" spans="1:1" ht="15.5" x14ac:dyDescent="0.35">
      <c r="A41" s="56" t="s">
        <v>173</v>
      </c>
    </row>
    <row r="42" spans="1:1" ht="15.5" x14ac:dyDescent="0.35">
      <c r="A42" s="56" t="s">
        <v>174</v>
      </c>
    </row>
    <row r="43" spans="1:1" ht="15.5" x14ac:dyDescent="0.35">
      <c r="A43" s="56" t="s">
        <v>175</v>
      </c>
    </row>
    <row r="44" spans="1:1" ht="15.5" x14ac:dyDescent="0.35">
      <c r="A44" s="56" t="s">
        <v>176</v>
      </c>
    </row>
    <row r="45" spans="1:1" ht="15.5" x14ac:dyDescent="0.35">
      <c r="A45" s="56" t="s">
        <v>177</v>
      </c>
    </row>
    <row r="46" spans="1:1" ht="15.5" x14ac:dyDescent="0.35">
      <c r="A46" s="56" t="s">
        <v>178</v>
      </c>
    </row>
    <row r="47" spans="1:1" ht="15.5" x14ac:dyDescent="0.35">
      <c r="A47" s="56" t="s">
        <v>179</v>
      </c>
    </row>
    <row r="48" spans="1:1" ht="15.5" x14ac:dyDescent="0.35">
      <c r="A48" s="56" t="s">
        <v>180</v>
      </c>
    </row>
    <row r="49" spans="1:1" ht="15.5" x14ac:dyDescent="0.35">
      <c r="A49" s="56" t="s">
        <v>181</v>
      </c>
    </row>
    <row r="50" spans="1:1" ht="15.5" x14ac:dyDescent="0.35">
      <c r="A50" s="56" t="s">
        <v>182</v>
      </c>
    </row>
    <row r="51" spans="1:1" ht="15.5" x14ac:dyDescent="0.35">
      <c r="A51" s="56" t="s">
        <v>183</v>
      </c>
    </row>
    <row r="52" spans="1:1" ht="15.5" x14ac:dyDescent="0.35">
      <c r="A52" s="56" t="s">
        <v>184</v>
      </c>
    </row>
    <row r="53" spans="1:1" ht="15.5" x14ac:dyDescent="0.35">
      <c r="A53" s="56" t="s">
        <v>185</v>
      </c>
    </row>
    <row r="54" spans="1:1" ht="15.5" x14ac:dyDescent="0.35">
      <c r="A54" s="56" t="s">
        <v>186</v>
      </c>
    </row>
    <row r="55" spans="1:1" ht="15.5" x14ac:dyDescent="0.35">
      <c r="A55" s="56" t="s">
        <v>187</v>
      </c>
    </row>
    <row r="56" spans="1:1" ht="15.5" x14ac:dyDescent="0.35">
      <c r="A56" s="56" t="s">
        <v>188</v>
      </c>
    </row>
    <row r="57" spans="1:1" ht="15.5" x14ac:dyDescent="0.35">
      <c r="A57" s="56" t="s">
        <v>189</v>
      </c>
    </row>
    <row r="58" spans="1:1" ht="15.5" x14ac:dyDescent="0.35">
      <c r="A58" s="56" t="s">
        <v>190</v>
      </c>
    </row>
    <row r="59" spans="1:1" ht="15.5" x14ac:dyDescent="0.35">
      <c r="A59" s="56" t="s">
        <v>191</v>
      </c>
    </row>
    <row r="60" spans="1:1" ht="15.5" x14ac:dyDescent="0.35">
      <c r="A60" s="56" t="s">
        <v>192</v>
      </c>
    </row>
    <row r="61" spans="1:1" ht="15.5" x14ac:dyDescent="0.35">
      <c r="A61" s="56" t="s">
        <v>193</v>
      </c>
    </row>
    <row r="62" spans="1:1" ht="15.5" x14ac:dyDescent="0.35">
      <c r="A62" s="56" t="s">
        <v>194</v>
      </c>
    </row>
    <row r="63" spans="1:1" ht="15.5" x14ac:dyDescent="0.35">
      <c r="A63" s="56" t="s">
        <v>195</v>
      </c>
    </row>
    <row r="64" spans="1:1" ht="15.5" x14ac:dyDescent="0.35">
      <c r="A64" s="56" t="s">
        <v>196</v>
      </c>
    </row>
    <row r="65" spans="1:1" ht="15.5" x14ac:dyDescent="0.35">
      <c r="A65" s="56" t="s">
        <v>197</v>
      </c>
    </row>
    <row r="66" spans="1:1" ht="15.5" x14ac:dyDescent="0.35">
      <c r="A66" s="56" t="s">
        <v>198</v>
      </c>
    </row>
    <row r="67" spans="1:1" ht="15.5" x14ac:dyDescent="0.35">
      <c r="A67" s="56" t="s">
        <v>199</v>
      </c>
    </row>
    <row r="68" spans="1:1" ht="15.5" x14ac:dyDescent="0.35">
      <c r="A68" s="56" t="s">
        <v>200</v>
      </c>
    </row>
    <row r="69" spans="1:1" ht="15.5" x14ac:dyDescent="0.35">
      <c r="A69" s="56" t="s">
        <v>201</v>
      </c>
    </row>
    <row r="70" spans="1:1" ht="15.5" x14ac:dyDescent="0.35">
      <c r="A70" s="56" t="s">
        <v>202</v>
      </c>
    </row>
    <row r="71" spans="1:1" ht="15.5" x14ac:dyDescent="0.35">
      <c r="A71" s="56" t="s">
        <v>203</v>
      </c>
    </row>
    <row r="72" spans="1:1" ht="15.5" x14ac:dyDescent="0.35">
      <c r="A72" s="56" t="s">
        <v>204</v>
      </c>
    </row>
    <row r="73" spans="1:1" ht="15.5" x14ac:dyDescent="0.35">
      <c r="A73" s="56" t="s">
        <v>205</v>
      </c>
    </row>
    <row r="74" spans="1:1" ht="15.5" x14ac:dyDescent="0.35">
      <c r="A74" s="56" t="s">
        <v>206</v>
      </c>
    </row>
    <row r="75" spans="1:1" ht="15.5" x14ac:dyDescent="0.35">
      <c r="A75" s="56" t="s">
        <v>207</v>
      </c>
    </row>
    <row r="76" spans="1:1" ht="15.5" x14ac:dyDescent="0.35">
      <c r="A76" s="56" t="s">
        <v>208</v>
      </c>
    </row>
    <row r="77" spans="1:1" ht="15.5" x14ac:dyDescent="0.35">
      <c r="A77" s="56" t="s">
        <v>209</v>
      </c>
    </row>
    <row r="78" spans="1:1" ht="15.5" x14ac:dyDescent="0.35">
      <c r="A78" s="56" t="s">
        <v>210</v>
      </c>
    </row>
    <row r="79" spans="1:1" ht="15.5" x14ac:dyDescent="0.35">
      <c r="A79" s="56" t="s">
        <v>211</v>
      </c>
    </row>
    <row r="80" spans="1:1" ht="15.5" x14ac:dyDescent="0.35">
      <c r="A80" s="56" t="s">
        <v>212</v>
      </c>
    </row>
    <row r="81" spans="1:1" ht="15.5" x14ac:dyDescent="0.35">
      <c r="A81" s="56" t="s">
        <v>213</v>
      </c>
    </row>
    <row r="82" spans="1:1" ht="15.5" x14ac:dyDescent="0.35">
      <c r="A82" s="56" t="s">
        <v>214</v>
      </c>
    </row>
    <row r="83" spans="1:1" ht="15.5" x14ac:dyDescent="0.35">
      <c r="A83" s="56" t="s">
        <v>215</v>
      </c>
    </row>
    <row r="84" spans="1:1" ht="15.5" x14ac:dyDescent="0.35">
      <c r="A84" s="56" t="s">
        <v>216</v>
      </c>
    </row>
    <row r="85" spans="1:1" ht="15.5" x14ac:dyDescent="0.35">
      <c r="A85" s="56" t="s">
        <v>217</v>
      </c>
    </row>
    <row r="86" spans="1:1" ht="15.5" x14ac:dyDescent="0.35">
      <c r="A86" s="56" t="s">
        <v>218</v>
      </c>
    </row>
    <row r="87" spans="1:1" ht="15.5" x14ac:dyDescent="0.35">
      <c r="A87" s="56" t="s">
        <v>219</v>
      </c>
    </row>
    <row r="88" spans="1:1" ht="15.5" x14ac:dyDescent="0.35">
      <c r="A88" s="56" t="s">
        <v>220</v>
      </c>
    </row>
    <row r="89" spans="1:1" ht="15.5" x14ac:dyDescent="0.35">
      <c r="A89" s="56" t="s">
        <v>221</v>
      </c>
    </row>
    <row r="90" spans="1:1" ht="15.5" x14ac:dyDescent="0.35">
      <c r="A90" s="56" t="s">
        <v>222</v>
      </c>
    </row>
    <row r="91" spans="1:1" ht="15.5" x14ac:dyDescent="0.35">
      <c r="A91" s="56" t="s">
        <v>223</v>
      </c>
    </row>
    <row r="92" spans="1:1" ht="15.5" x14ac:dyDescent="0.35">
      <c r="A92" s="56" t="s">
        <v>224</v>
      </c>
    </row>
    <row r="93" spans="1:1" ht="15.5" x14ac:dyDescent="0.35">
      <c r="A93" s="56" t="s">
        <v>225</v>
      </c>
    </row>
    <row r="94" spans="1:1" ht="15.5" x14ac:dyDescent="0.35">
      <c r="A94" s="56" t="s">
        <v>226</v>
      </c>
    </row>
    <row r="95" spans="1:1" ht="15.5" x14ac:dyDescent="0.35">
      <c r="A95" s="56" t="s">
        <v>227</v>
      </c>
    </row>
    <row r="96" spans="1:1" ht="15.5" x14ac:dyDescent="0.35">
      <c r="A96" s="56" t="s">
        <v>228</v>
      </c>
    </row>
    <row r="97" spans="1:1" ht="15.5" x14ac:dyDescent="0.35">
      <c r="A97" s="56" t="s">
        <v>229</v>
      </c>
    </row>
    <row r="98" spans="1:1" ht="15.5" x14ac:dyDescent="0.35">
      <c r="A98" s="56" t="s">
        <v>230</v>
      </c>
    </row>
    <row r="99" spans="1:1" ht="15.5" x14ac:dyDescent="0.35">
      <c r="A99" s="56" t="s">
        <v>231</v>
      </c>
    </row>
    <row r="100" spans="1:1" ht="15.5" x14ac:dyDescent="0.35">
      <c r="A100" s="56" t="s">
        <v>232</v>
      </c>
    </row>
    <row r="101" spans="1:1" ht="15.5" x14ac:dyDescent="0.35">
      <c r="A101" s="56" t="s">
        <v>233</v>
      </c>
    </row>
    <row r="102" spans="1:1" ht="15.5" x14ac:dyDescent="0.35">
      <c r="A102" s="56" t="s">
        <v>234</v>
      </c>
    </row>
    <row r="103" spans="1:1" ht="15.5" x14ac:dyDescent="0.35">
      <c r="A103" s="56" t="s">
        <v>235</v>
      </c>
    </row>
    <row r="104" spans="1:1" ht="15.5" x14ac:dyDescent="0.35">
      <c r="A104" s="56" t="s">
        <v>236</v>
      </c>
    </row>
    <row r="105" spans="1:1" ht="15.5" x14ac:dyDescent="0.35">
      <c r="A105" s="56" t="s">
        <v>237</v>
      </c>
    </row>
    <row r="106" spans="1:1" ht="15.5" x14ac:dyDescent="0.35">
      <c r="A106" s="56" t="s">
        <v>238</v>
      </c>
    </row>
    <row r="107" spans="1:1" ht="15.5" x14ac:dyDescent="0.35">
      <c r="A107" s="56" t="s">
        <v>239</v>
      </c>
    </row>
    <row r="108" spans="1:1" ht="15.5" x14ac:dyDescent="0.35">
      <c r="A108" s="56" t="s">
        <v>240</v>
      </c>
    </row>
    <row r="109" spans="1:1" ht="15.5" x14ac:dyDescent="0.35">
      <c r="A109" s="56" t="s">
        <v>241</v>
      </c>
    </row>
    <row r="110" spans="1:1" ht="15.5" x14ac:dyDescent="0.35">
      <c r="A110" s="56" t="s">
        <v>242</v>
      </c>
    </row>
    <row r="111" spans="1:1" ht="15.5" x14ac:dyDescent="0.35">
      <c r="A111" s="56" t="s">
        <v>243</v>
      </c>
    </row>
    <row r="112" spans="1:1" ht="15.5" x14ac:dyDescent="0.35">
      <c r="A112" s="56" t="s">
        <v>244</v>
      </c>
    </row>
    <row r="113" spans="1:1" ht="15.5" x14ac:dyDescent="0.35">
      <c r="A113" s="56" t="s">
        <v>245</v>
      </c>
    </row>
    <row r="114" spans="1:1" ht="15.5" x14ac:dyDescent="0.35">
      <c r="A114" s="56" t="s">
        <v>246</v>
      </c>
    </row>
    <row r="115" spans="1:1" ht="15.5" x14ac:dyDescent="0.35">
      <c r="A115" s="56" t="s">
        <v>247</v>
      </c>
    </row>
    <row r="116" spans="1:1" ht="15.5" x14ac:dyDescent="0.35">
      <c r="A116" s="56" t="s">
        <v>248</v>
      </c>
    </row>
    <row r="117" spans="1:1" ht="15.5" x14ac:dyDescent="0.35">
      <c r="A117" s="56" t="s">
        <v>249</v>
      </c>
    </row>
    <row r="118" spans="1:1" ht="15.5" x14ac:dyDescent="0.35">
      <c r="A118" s="56" t="s">
        <v>250</v>
      </c>
    </row>
    <row r="119" spans="1:1" ht="15.5" x14ac:dyDescent="0.35">
      <c r="A119" s="56" t="s">
        <v>251</v>
      </c>
    </row>
    <row r="120" spans="1:1" ht="15.5" x14ac:dyDescent="0.35">
      <c r="A120" s="56" t="s">
        <v>252</v>
      </c>
    </row>
    <row r="121" spans="1:1" ht="15.5" x14ac:dyDescent="0.35">
      <c r="A121" s="56" t="s">
        <v>253</v>
      </c>
    </row>
    <row r="122" spans="1:1" ht="15.5" x14ac:dyDescent="0.35">
      <c r="A122" s="56" t="s">
        <v>254</v>
      </c>
    </row>
    <row r="123" spans="1:1" ht="15.5" x14ac:dyDescent="0.35">
      <c r="A123" s="56" t="s">
        <v>255</v>
      </c>
    </row>
    <row r="124" spans="1:1" ht="15.5" x14ac:dyDescent="0.35">
      <c r="A124" s="56" t="s">
        <v>256</v>
      </c>
    </row>
    <row r="125" spans="1:1" ht="15.5" x14ac:dyDescent="0.35">
      <c r="A125" s="56" t="s">
        <v>257</v>
      </c>
    </row>
    <row r="126" spans="1:1" ht="15.5" x14ac:dyDescent="0.35">
      <c r="A126" s="56" t="s">
        <v>258</v>
      </c>
    </row>
    <row r="127" spans="1:1" ht="15.5" x14ac:dyDescent="0.35">
      <c r="A127" s="56" t="s">
        <v>259</v>
      </c>
    </row>
    <row r="128" spans="1:1" ht="15.5" x14ac:dyDescent="0.35">
      <c r="A128" s="56" t="s">
        <v>260</v>
      </c>
    </row>
    <row r="129" spans="1:1" ht="15.5" x14ac:dyDescent="0.35">
      <c r="A129" s="56" t="s">
        <v>261</v>
      </c>
    </row>
    <row r="130" spans="1:1" ht="15.5" x14ac:dyDescent="0.35">
      <c r="A130" s="56" t="s">
        <v>262</v>
      </c>
    </row>
    <row r="131" spans="1:1" ht="15.5" x14ac:dyDescent="0.35">
      <c r="A131" s="56" t="s">
        <v>263</v>
      </c>
    </row>
    <row r="132" spans="1:1" ht="15.5" x14ac:dyDescent="0.35">
      <c r="A132" s="56" t="s">
        <v>264</v>
      </c>
    </row>
    <row r="133" spans="1:1" ht="15.5" x14ac:dyDescent="0.35">
      <c r="A133" s="56" t="s">
        <v>265</v>
      </c>
    </row>
    <row r="134" spans="1:1" ht="15.5" x14ac:dyDescent="0.35">
      <c r="A134" s="56" t="s">
        <v>266</v>
      </c>
    </row>
    <row r="135" spans="1:1" ht="15.5" x14ac:dyDescent="0.35">
      <c r="A135" s="56" t="s">
        <v>267</v>
      </c>
    </row>
    <row r="136" spans="1:1" ht="15.5" x14ac:dyDescent="0.35">
      <c r="A136" s="56" t="s">
        <v>268</v>
      </c>
    </row>
    <row r="137" spans="1:1" ht="15.5" x14ac:dyDescent="0.35">
      <c r="A137" s="56" t="s">
        <v>269</v>
      </c>
    </row>
    <row r="138" spans="1:1" ht="15.5" x14ac:dyDescent="0.35">
      <c r="A138" s="56" t="s">
        <v>270</v>
      </c>
    </row>
    <row r="139" spans="1:1" ht="15.5" x14ac:dyDescent="0.35">
      <c r="A139" s="56" t="s">
        <v>271</v>
      </c>
    </row>
    <row r="140" spans="1:1" ht="15.5" x14ac:dyDescent="0.35">
      <c r="A140" s="56" t="s">
        <v>272</v>
      </c>
    </row>
    <row r="141" spans="1:1" ht="15.5" x14ac:dyDescent="0.35">
      <c r="A141" s="56" t="s">
        <v>273</v>
      </c>
    </row>
    <row r="142" spans="1:1" ht="15.5" x14ac:dyDescent="0.35">
      <c r="A142" s="56" t="s">
        <v>274</v>
      </c>
    </row>
    <row r="143" spans="1:1" ht="15.5" x14ac:dyDescent="0.35">
      <c r="A143" s="56" t="s">
        <v>275</v>
      </c>
    </row>
    <row r="144" spans="1:1" ht="15.5" x14ac:dyDescent="0.35">
      <c r="A144" s="56" t="s">
        <v>276</v>
      </c>
    </row>
    <row r="145" spans="1:1" ht="15.5" x14ac:dyDescent="0.35">
      <c r="A145" s="56" t="s">
        <v>277</v>
      </c>
    </row>
    <row r="146" spans="1:1" ht="15.5" x14ac:dyDescent="0.35">
      <c r="A146" s="56" t="s">
        <v>278</v>
      </c>
    </row>
    <row r="147" spans="1:1" ht="15.5" x14ac:dyDescent="0.35">
      <c r="A147" s="56" t="s">
        <v>279</v>
      </c>
    </row>
    <row r="148" spans="1:1" ht="15.5" x14ac:dyDescent="0.35">
      <c r="A148" s="56" t="s">
        <v>280</v>
      </c>
    </row>
    <row r="149" spans="1:1" ht="15.5" x14ac:dyDescent="0.35">
      <c r="A149" s="56" t="s">
        <v>281</v>
      </c>
    </row>
    <row r="150" spans="1:1" ht="15.5" x14ac:dyDescent="0.35">
      <c r="A150" s="56" t="s">
        <v>282</v>
      </c>
    </row>
    <row r="151" spans="1:1" ht="15.5" x14ac:dyDescent="0.35">
      <c r="A151" s="56" t="s">
        <v>283</v>
      </c>
    </row>
    <row r="152" spans="1:1" ht="15.5" x14ac:dyDescent="0.35">
      <c r="A152" s="56" t="s">
        <v>284</v>
      </c>
    </row>
    <row r="153" spans="1:1" ht="15.5" x14ac:dyDescent="0.35">
      <c r="A153" s="56" t="s">
        <v>285</v>
      </c>
    </row>
    <row r="154" spans="1:1" ht="15.5" x14ac:dyDescent="0.35">
      <c r="A154" s="56" t="s">
        <v>286</v>
      </c>
    </row>
    <row r="155" spans="1:1" ht="15.5" x14ac:dyDescent="0.35">
      <c r="A155" s="56" t="s">
        <v>287</v>
      </c>
    </row>
    <row r="156" spans="1:1" ht="15.5" x14ac:dyDescent="0.35">
      <c r="A156" s="56" t="s">
        <v>288</v>
      </c>
    </row>
    <row r="157" spans="1:1" ht="15.5" x14ac:dyDescent="0.35">
      <c r="A157" s="56" t="s">
        <v>289</v>
      </c>
    </row>
    <row r="158" spans="1:1" ht="15.5" x14ac:dyDescent="0.35">
      <c r="A158" s="56" t="s">
        <v>290</v>
      </c>
    </row>
    <row r="159" spans="1:1" ht="15.5" x14ac:dyDescent="0.35">
      <c r="A159" s="56" t="s">
        <v>291</v>
      </c>
    </row>
    <row r="160" spans="1:1" ht="15.5" x14ac:dyDescent="0.35">
      <c r="A160" s="56" t="s">
        <v>292</v>
      </c>
    </row>
    <row r="161" spans="1:1" ht="15.5" x14ac:dyDescent="0.35">
      <c r="A161" s="56" t="s">
        <v>293</v>
      </c>
    </row>
    <row r="162" spans="1:1" ht="15.5" x14ac:dyDescent="0.35">
      <c r="A162" s="56" t="s">
        <v>294</v>
      </c>
    </row>
    <row r="163" spans="1:1" ht="15.5" x14ac:dyDescent="0.35">
      <c r="A163" s="56" t="s">
        <v>295</v>
      </c>
    </row>
    <row r="164" spans="1:1" ht="15.5" x14ac:dyDescent="0.35">
      <c r="A164" s="56" t="s">
        <v>296</v>
      </c>
    </row>
    <row r="165" spans="1:1" ht="15.5" x14ac:dyDescent="0.35">
      <c r="A165" s="56" t="s">
        <v>297</v>
      </c>
    </row>
    <row r="166" spans="1:1" ht="15.5" x14ac:dyDescent="0.35">
      <c r="A166" s="56" t="s">
        <v>298</v>
      </c>
    </row>
    <row r="167" spans="1:1" ht="15.5" x14ac:dyDescent="0.35">
      <c r="A167" s="56" t="s">
        <v>299</v>
      </c>
    </row>
    <row r="168" spans="1:1" ht="15.5" x14ac:dyDescent="0.35">
      <c r="A168" s="56" t="s">
        <v>300</v>
      </c>
    </row>
    <row r="169" spans="1:1" ht="15.5" x14ac:dyDescent="0.35">
      <c r="A169" s="56" t="s">
        <v>301</v>
      </c>
    </row>
    <row r="170" spans="1:1" ht="15.5" x14ac:dyDescent="0.35">
      <c r="A170" s="56" t="s">
        <v>302</v>
      </c>
    </row>
    <row r="171" spans="1:1" ht="15.5" x14ac:dyDescent="0.35">
      <c r="A171" s="56" t="s">
        <v>303</v>
      </c>
    </row>
    <row r="172" spans="1:1" ht="15.5" x14ac:dyDescent="0.35">
      <c r="A172" s="56" t="s">
        <v>304</v>
      </c>
    </row>
    <row r="173" spans="1:1" ht="15.5" x14ac:dyDescent="0.35">
      <c r="A173" s="56" t="s">
        <v>305</v>
      </c>
    </row>
    <row r="174" spans="1:1" ht="15.5" x14ac:dyDescent="0.35">
      <c r="A174" s="56" t="s">
        <v>306</v>
      </c>
    </row>
    <row r="175" spans="1:1" ht="15.5" x14ac:dyDescent="0.35">
      <c r="A175" s="56" t="s">
        <v>307</v>
      </c>
    </row>
    <row r="176" spans="1:1" ht="15.5" x14ac:dyDescent="0.35">
      <c r="A176" s="56" t="s">
        <v>308</v>
      </c>
    </row>
    <row r="177" spans="1:1" ht="15.5" x14ac:dyDescent="0.35">
      <c r="A177" s="56" t="s">
        <v>309</v>
      </c>
    </row>
    <row r="178" spans="1:1" ht="15.5" x14ac:dyDescent="0.35">
      <c r="A178" s="56" t="s">
        <v>310</v>
      </c>
    </row>
    <row r="179" spans="1:1" ht="15.5" x14ac:dyDescent="0.35">
      <c r="A179" s="56" t="s">
        <v>311</v>
      </c>
    </row>
    <row r="180" spans="1:1" ht="15.5" x14ac:dyDescent="0.35">
      <c r="A180" s="56" t="s">
        <v>312</v>
      </c>
    </row>
    <row r="181" spans="1:1" ht="15.5" x14ac:dyDescent="0.35">
      <c r="A181" s="56" t="s">
        <v>313</v>
      </c>
    </row>
    <row r="182" spans="1:1" ht="15.5" x14ac:dyDescent="0.35">
      <c r="A182" s="56" t="s">
        <v>314</v>
      </c>
    </row>
    <row r="183" spans="1:1" ht="15.5" x14ac:dyDescent="0.35">
      <c r="A183" s="56" t="s">
        <v>315</v>
      </c>
    </row>
    <row r="184" spans="1:1" ht="15.5" x14ac:dyDescent="0.35">
      <c r="A184" s="56" t="s">
        <v>316</v>
      </c>
    </row>
    <row r="185" spans="1:1" ht="15.5" x14ac:dyDescent="0.35">
      <c r="A185" s="56" t="s">
        <v>317</v>
      </c>
    </row>
    <row r="186" spans="1:1" ht="15.5" x14ac:dyDescent="0.35">
      <c r="A186" s="56" t="s">
        <v>318</v>
      </c>
    </row>
    <row r="187" spans="1:1" ht="15.5" x14ac:dyDescent="0.35">
      <c r="A187" s="56" t="s">
        <v>319</v>
      </c>
    </row>
    <row r="188" spans="1:1" ht="15.5" x14ac:dyDescent="0.35">
      <c r="A188" s="56" t="s">
        <v>320</v>
      </c>
    </row>
    <row r="189" spans="1:1" ht="15.5" x14ac:dyDescent="0.35">
      <c r="A189" s="56" t="s">
        <v>321</v>
      </c>
    </row>
    <row r="190" spans="1:1" ht="15.5" x14ac:dyDescent="0.35">
      <c r="A190" s="56" t="s">
        <v>322</v>
      </c>
    </row>
    <row r="191" spans="1:1" ht="15.5" x14ac:dyDescent="0.35">
      <c r="A191" s="56" t="s">
        <v>323</v>
      </c>
    </row>
    <row r="192" spans="1:1" ht="15.5" x14ac:dyDescent="0.35">
      <c r="A192" s="56" t="s">
        <v>324</v>
      </c>
    </row>
    <row r="193" spans="1:1" ht="15.5" x14ac:dyDescent="0.35">
      <c r="A193" s="56" t="s">
        <v>325</v>
      </c>
    </row>
    <row r="194" spans="1:1" ht="15.5" x14ac:dyDescent="0.35">
      <c r="A194" s="56" t="s">
        <v>326</v>
      </c>
    </row>
    <row r="195" spans="1:1" ht="15.5" x14ac:dyDescent="0.35">
      <c r="A195" s="56" t="s">
        <v>327</v>
      </c>
    </row>
    <row r="196" spans="1:1" ht="15.5" x14ac:dyDescent="0.35">
      <c r="A196" s="56" t="s">
        <v>328</v>
      </c>
    </row>
    <row r="197" spans="1:1" ht="15.5" x14ac:dyDescent="0.35">
      <c r="A197" s="56" t="s">
        <v>329</v>
      </c>
    </row>
    <row r="198" spans="1:1" ht="15.5" x14ac:dyDescent="0.35">
      <c r="A198" s="56" t="s">
        <v>330</v>
      </c>
    </row>
    <row r="199" spans="1:1" ht="15.5" x14ac:dyDescent="0.35">
      <c r="A199" s="56" t="s">
        <v>331</v>
      </c>
    </row>
    <row r="200" spans="1:1" ht="15.5" x14ac:dyDescent="0.35">
      <c r="A200" s="56" t="s">
        <v>332</v>
      </c>
    </row>
    <row r="201" spans="1:1" ht="15.5" x14ac:dyDescent="0.35">
      <c r="A201" s="56" t="s">
        <v>333</v>
      </c>
    </row>
    <row r="202" spans="1:1" ht="15.5" x14ac:dyDescent="0.35">
      <c r="A202" s="56" t="s">
        <v>334</v>
      </c>
    </row>
    <row r="203" spans="1:1" ht="15.5" x14ac:dyDescent="0.35">
      <c r="A203" s="56" t="s">
        <v>335</v>
      </c>
    </row>
    <row r="204" spans="1:1" ht="15.5" x14ac:dyDescent="0.35">
      <c r="A204" s="56" t="s">
        <v>336</v>
      </c>
    </row>
    <row r="205" spans="1:1" ht="15.5" x14ac:dyDescent="0.35">
      <c r="A205" s="56" t="s">
        <v>337</v>
      </c>
    </row>
    <row r="206" spans="1:1" ht="15.5" x14ac:dyDescent="0.35">
      <c r="A206" s="56" t="s">
        <v>338</v>
      </c>
    </row>
    <row r="207" spans="1:1" ht="15.5" x14ac:dyDescent="0.35">
      <c r="A207" s="56" t="s">
        <v>339</v>
      </c>
    </row>
    <row r="208" spans="1:1" ht="15.5" x14ac:dyDescent="0.35">
      <c r="A208" s="56" t="s">
        <v>340</v>
      </c>
    </row>
    <row r="209" spans="1:1" ht="15.5" x14ac:dyDescent="0.35">
      <c r="A209" s="56" t="s">
        <v>341</v>
      </c>
    </row>
    <row r="210" spans="1:1" ht="15.5" x14ac:dyDescent="0.35">
      <c r="A210" s="56" t="s">
        <v>342</v>
      </c>
    </row>
    <row r="211" spans="1:1" ht="15.5" x14ac:dyDescent="0.35">
      <c r="A211" s="56" t="s">
        <v>343</v>
      </c>
    </row>
    <row r="212" spans="1:1" ht="15.5" x14ac:dyDescent="0.35">
      <c r="A212" s="56" t="s">
        <v>344</v>
      </c>
    </row>
    <row r="213" spans="1:1" ht="15.5" x14ac:dyDescent="0.35">
      <c r="A213" s="56" t="s">
        <v>345</v>
      </c>
    </row>
    <row r="214" spans="1:1" ht="15.5" x14ac:dyDescent="0.35">
      <c r="A214" s="56" t="s">
        <v>346</v>
      </c>
    </row>
    <row r="215" spans="1:1" ht="15.5" x14ac:dyDescent="0.35">
      <c r="A215" s="56" t="s">
        <v>347</v>
      </c>
    </row>
    <row r="216" spans="1:1" ht="15.5" x14ac:dyDescent="0.35">
      <c r="A216" s="56" t="s">
        <v>348</v>
      </c>
    </row>
    <row r="217" spans="1:1" ht="15.5" x14ac:dyDescent="0.35">
      <c r="A217" s="56" t="s">
        <v>349</v>
      </c>
    </row>
    <row r="218" spans="1:1" ht="15.5" x14ac:dyDescent="0.35">
      <c r="A218" s="56" t="s">
        <v>350</v>
      </c>
    </row>
    <row r="219" spans="1:1" ht="15.5" x14ac:dyDescent="0.35">
      <c r="A219" s="56" t="s">
        <v>351</v>
      </c>
    </row>
    <row r="220" spans="1:1" ht="15.5" x14ac:dyDescent="0.35">
      <c r="A220" s="56" t="s">
        <v>352</v>
      </c>
    </row>
    <row r="221" spans="1:1" ht="15.5" x14ac:dyDescent="0.35">
      <c r="A221" s="56" t="s">
        <v>353</v>
      </c>
    </row>
    <row r="222" spans="1:1" ht="15.5" x14ac:dyDescent="0.35">
      <c r="A222" s="56" t="s">
        <v>354</v>
      </c>
    </row>
    <row r="223" spans="1:1" ht="15.5" x14ac:dyDescent="0.35">
      <c r="A223" s="56" t="s">
        <v>355</v>
      </c>
    </row>
    <row r="224" spans="1:1" ht="15.5" x14ac:dyDescent="0.35">
      <c r="A224" s="56" t="s">
        <v>356</v>
      </c>
    </row>
    <row r="225" spans="1:1" ht="15.5" x14ac:dyDescent="0.35">
      <c r="A225" s="56" t="s">
        <v>357</v>
      </c>
    </row>
    <row r="226" spans="1:1" ht="15.5" x14ac:dyDescent="0.35">
      <c r="A226" s="56" t="s">
        <v>358</v>
      </c>
    </row>
    <row r="227" spans="1:1" ht="15.5" x14ac:dyDescent="0.35">
      <c r="A227" s="56" t="s">
        <v>359</v>
      </c>
    </row>
    <row r="228" spans="1:1" ht="15.5" x14ac:dyDescent="0.35">
      <c r="A228" s="56" t="s">
        <v>360</v>
      </c>
    </row>
    <row r="229" spans="1:1" ht="15.5" x14ac:dyDescent="0.35">
      <c r="A229" s="56" t="s">
        <v>361</v>
      </c>
    </row>
    <row r="230" spans="1:1" ht="15.5" x14ac:dyDescent="0.35">
      <c r="A230" s="56" t="s">
        <v>362</v>
      </c>
    </row>
    <row r="231" spans="1:1" ht="15.5" x14ac:dyDescent="0.35">
      <c r="A231" s="56" t="s">
        <v>363</v>
      </c>
    </row>
    <row r="232" spans="1:1" ht="15.5" x14ac:dyDescent="0.35">
      <c r="A232" s="56" t="s">
        <v>364</v>
      </c>
    </row>
    <row r="233" spans="1:1" ht="15.5" x14ac:dyDescent="0.35">
      <c r="A233" s="56" t="s">
        <v>365</v>
      </c>
    </row>
    <row r="234" spans="1:1" ht="15.5" x14ac:dyDescent="0.35">
      <c r="A234" s="56" t="s">
        <v>366</v>
      </c>
    </row>
    <row r="235" spans="1:1" ht="15.5" x14ac:dyDescent="0.35">
      <c r="A235" s="56" t="s">
        <v>367</v>
      </c>
    </row>
    <row r="236" spans="1:1" ht="15.5" x14ac:dyDescent="0.35">
      <c r="A236" s="56" t="s">
        <v>368</v>
      </c>
    </row>
    <row r="237" spans="1:1" ht="15.5" x14ac:dyDescent="0.35">
      <c r="A237" s="56" t="s">
        <v>369</v>
      </c>
    </row>
    <row r="238" spans="1:1" ht="15.5" x14ac:dyDescent="0.35">
      <c r="A238" s="56" t="s">
        <v>370</v>
      </c>
    </row>
    <row r="239" spans="1:1" ht="15.5" x14ac:dyDescent="0.35">
      <c r="A239" s="56" t="s">
        <v>371</v>
      </c>
    </row>
    <row r="240" spans="1:1" ht="15.5" x14ac:dyDescent="0.35">
      <c r="A240" s="56" t="s">
        <v>372</v>
      </c>
    </row>
    <row r="241" spans="1:1" ht="15.5" x14ac:dyDescent="0.35">
      <c r="A241" s="56" t="s">
        <v>373</v>
      </c>
    </row>
    <row r="242" spans="1:1" ht="15.5" x14ac:dyDescent="0.35">
      <c r="A242" s="56" t="s">
        <v>374</v>
      </c>
    </row>
    <row r="243" spans="1:1" ht="15.5" x14ac:dyDescent="0.35">
      <c r="A243" s="56" t="s">
        <v>375</v>
      </c>
    </row>
    <row r="244" spans="1:1" ht="15.5" x14ac:dyDescent="0.35">
      <c r="A244" s="56" t="s">
        <v>376</v>
      </c>
    </row>
    <row r="245" spans="1:1" ht="15.5" x14ac:dyDescent="0.35">
      <c r="A245" s="56" t="s">
        <v>377</v>
      </c>
    </row>
    <row r="246" spans="1:1" ht="15.5" x14ac:dyDescent="0.35">
      <c r="A246" s="56" t="s">
        <v>378</v>
      </c>
    </row>
    <row r="247" spans="1:1" ht="15.5" x14ac:dyDescent="0.35">
      <c r="A247" s="56" t="s">
        <v>379</v>
      </c>
    </row>
    <row r="248" spans="1:1" ht="15.5" x14ac:dyDescent="0.35">
      <c r="A248" s="56" t="s">
        <v>380</v>
      </c>
    </row>
    <row r="249" spans="1:1" ht="15.5" x14ac:dyDescent="0.35">
      <c r="A249" s="56" t="s">
        <v>381</v>
      </c>
    </row>
    <row r="250" spans="1:1" ht="15.5" x14ac:dyDescent="0.35">
      <c r="A250" s="56" t="s">
        <v>382</v>
      </c>
    </row>
    <row r="251" spans="1:1" ht="15.5" x14ac:dyDescent="0.35">
      <c r="A251" s="56" t="s">
        <v>383</v>
      </c>
    </row>
    <row r="252" spans="1:1" ht="15.5" x14ac:dyDescent="0.35">
      <c r="A252" s="56" t="s">
        <v>384</v>
      </c>
    </row>
    <row r="253" spans="1:1" ht="15.5" x14ac:dyDescent="0.35">
      <c r="A253" s="56" t="s">
        <v>385</v>
      </c>
    </row>
    <row r="254" spans="1:1" ht="15.5" x14ac:dyDescent="0.35">
      <c r="A254" s="56" t="s">
        <v>386</v>
      </c>
    </row>
    <row r="255" spans="1:1" ht="15.5" x14ac:dyDescent="0.35">
      <c r="A255" s="56" t="s">
        <v>387</v>
      </c>
    </row>
    <row r="256" spans="1:1" ht="15.5" x14ac:dyDescent="0.35">
      <c r="A256" s="56" t="s">
        <v>388</v>
      </c>
    </row>
    <row r="257" spans="1:1" ht="15.5" x14ac:dyDescent="0.35">
      <c r="A257" s="56" t="s">
        <v>389</v>
      </c>
    </row>
    <row r="258" spans="1:1" ht="15.5" x14ac:dyDescent="0.35">
      <c r="A258" s="56" t="s">
        <v>390</v>
      </c>
    </row>
    <row r="259" spans="1:1" ht="15.5" x14ac:dyDescent="0.35">
      <c r="A259" s="56" t="s">
        <v>391</v>
      </c>
    </row>
    <row r="260" spans="1:1" ht="15.5" x14ac:dyDescent="0.35">
      <c r="A260" s="56" t="s">
        <v>392</v>
      </c>
    </row>
    <row r="261" spans="1:1" ht="15.5" x14ac:dyDescent="0.35">
      <c r="A261" s="56" t="s">
        <v>393</v>
      </c>
    </row>
    <row r="262" spans="1:1" ht="15.5" x14ac:dyDescent="0.35">
      <c r="A262" s="56" t="s">
        <v>394</v>
      </c>
    </row>
    <row r="263" spans="1:1" ht="15.5" x14ac:dyDescent="0.35">
      <c r="A263" s="56" t="s">
        <v>395</v>
      </c>
    </row>
    <row r="264" spans="1:1" ht="15.5" x14ac:dyDescent="0.35">
      <c r="A264" s="56" t="s">
        <v>396</v>
      </c>
    </row>
    <row r="265" spans="1:1" ht="15.5" x14ac:dyDescent="0.35">
      <c r="A265" s="56" t="s">
        <v>397</v>
      </c>
    </row>
    <row r="266" spans="1:1" ht="15.5" x14ac:dyDescent="0.35">
      <c r="A266" s="56" t="s">
        <v>398</v>
      </c>
    </row>
    <row r="267" spans="1:1" ht="15.5" x14ac:dyDescent="0.35">
      <c r="A267" s="56" t="s">
        <v>399</v>
      </c>
    </row>
    <row r="268" spans="1:1" ht="15.5" x14ac:dyDescent="0.35">
      <c r="A268" s="56" t="s">
        <v>400</v>
      </c>
    </row>
    <row r="269" spans="1:1" ht="15.5" x14ac:dyDescent="0.35">
      <c r="A269" s="56" t="s">
        <v>401</v>
      </c>
    </row>
    <row r="270" spans="1:1" ht="15.5" x14ac:dyDescent="0.35">
      <c r="A270" s="56" t="s">
        <v>402</v>
      </c>
    </row>
    <row r="271" spans="1:1" ht="15.5" x14ac:dyDescent="0.35">
      <c r="A271" s="56" t="s">
        <v>403</v>
      </c>
    </row>
    <row r="272" spans="1:1" ht="15.5" x14ac:dyDescent="0.35">
      <c r="A272" s="56" t="s">
        <v>404</v>
      </c>
    </row>
    <row r="273" spans="1:1" ht="15.5" x14ac:dyDescent="0.35">
      <c r="A273" s="56" t="s">
        <v>405</v>
      </c>
    </row>
    <row r="274" spans="1:1" ht="15.5" x14ac:dyDescent="0.35">
      <c r="A274" s="56" t="s">
        <v>406</v>
      </c>
    </row>
    <row r="275" spans="1:1" ht="15.5" x14ac:dyDescent="0.35">
      <c r="A275" s="56" t="s">
        <v>407</v>
      </c>
    </row>
    <row r="276" spans="1:1" ht="15.5" x14ac:dyDescent="0.35">
      <c r="A276" s="56" t="s">
        <v>408</v>
      </c>
    </row>
    <row r="277" spans="1:1" ht="15.5" x14ac:dyDescent="0.35">
      <c r="A277" s="56" t="s">
        <v>409</v>
      </c>
    </row>
    <row r="278" spans="1:1" ht="15.5" x14ac:dyDescent="0.35">
      <c r="A278" s="56" t="s">
        <v>410</v>
      </c>
    </row>
    <row r="279" spans="1:1" ht="15.5" x14ac:dyDescent="0.35">
      <c r="A279" s="56" t="s">
        <v>411</v>
      </c>
    </row>
    <row r="280" spans="1:1" ht="15.5" x14ac:dyDescent="0.35">
      <c r="A280" s="56" t="s">
        <v>412</v>
      </c>
    </row>
    <row r="281" spans="1:1" ht="15.5" x14ac:dyDescent="0.35">
      <c r="A281" s="56" t="s">
        <v>413</v>
      </c>
    </row>
    <row r="282" spans="1:1" ht="15.5" x14ac:dyDescent="0.35">
      <c r="A282" s="56" t="s">
        <v>414</v>
      </c>
    </row>
    <row r="283" spans="1:1" ht="15.5" x14ac:dyDescent="0.35">
      <c r="A283" s="56" t="s">
        <v>415</v>
      </c>
    </row>
    <row r="284" spans="1:1" ht="15.5" x14ac:dyDescent="0.35">
      <c r="A284" s="56" t="s">
        <v>416</v>
      </c>
    </row>
    <row r="285" spans="1:1" ht="15.5" x14ac:dyDescent="0.35">
      <c r="A285" s="56" t="s">
        <v>417</v>
      </c>
    </row>
    <row r="286" spans="1:1" ht="15.5" x14ac:dyDescent="0.35">
      <c r="A286" s="56" t="s">
        <v>418</v>
      </c>
    </row>
    <row r="287" spans="1:1" ht="15.5" x14ac:dyDescent="0.35">
      <c r="A287" s="56" t="s">
        <v>419</v>
      </c>
    </row>
    <row r="288" spans="1:1" ht="15.5" x14ac:dyDescent="0.35">
      <c r="A288" s="56" t="s">
        <v>420</v>
      </c>
    </row>
    <row r="289" spans="1:1" ht="15.5" x14ac:dyDescent="0.35">
      <c r="A289" s="56" t="s">
        <v>421</v>
      </c>
    </row>
    <row r="290" spans="1:1" ht="15.5" x14ac:dyDescent="0.35">
      <c r="A290" s="56" t="s">
        <v>422</v>
      </c>
    </row>
    <row r="291" spans="1:1" ht="15.5" x14ac:dyDescent="0.35">
      <c r="A291" s="56" t="s">
        <v>423</v>
      </c>
    </row>
    <row r="292" spans="1:1" ht="15.5" x14ac:dyDescent="0.35">
      <c r="A292" s="56" t="s">
        <v>424</v>
      </c>
    </row>
    <row r="293" spans="1:1" ht="15.5" x14ac:dyDescent="0.35">
      <c r="A293" s="56" t="s">
        <v>425</v>
      </c>
    </row>
    <row r="294" spans="1:1" ht="15.5" x14ac:dyDescent="0.35">
      <c r="A294" s="56" t="s">
        <v>426</v>
      </c>
    </row>
    <row r="295" spans="1:1" ht="15.5" x14ac:dyDescent="0.35">
      <c r="A295" s="56" t="s">
        <v>427</v>
      </c>
    </row>
    <row r="296" spans="1:1" ht="15.5" x14ac:dyDescent="0.35">
      <c r="A296" s="56" t="s">
        <v>428</v>
      </c>
    </row>
    <row r="297" spans="1:1" ht="15.5" x14ac:dyDescent="0.35">
      <c r="A297" s="56" t="s">
        <v>429</v>
      </c>
    </row>
    <row r="298" spans="1:1" ht="15.5" x14ac:dyDescent="0.35">
      <c r="A298" s="56" t="s">
        <v>430</v>
      </c>
    </row>
    <row r="299" spans="1:1" ht="15.5" x14ac:dyDescent="0.35">
      <c r="A299" s="56" t="s">
        <v>431</v>
      </c>
    </row>
    <row r="300" spans="1:1" ht="15.5" x14ac:dyDescent="0.35">
      <c r="A300" s="56" t="s">
        <v>432</v>
      </c>
    </row>
    <row r="301" spans="1:1" ht="15.5" x14ac:dyDescent="0.35">
      <c r="A301" s="56" t="s">
        <v>433</v>
      </c>
    </row>
    <row r="302" spans="1:1" ht="15.5" x14ac:dyDescent="0.35">
      <c r="A302" s="56" t="s">
        <v>434</v>
      </c>
    </row>
    <row r="303" spans="1:1" ht="15.5" x14ac:dyDescent="0.35">
      <c r="A303" s="56" t="s">
        <v>435</v>
      </c>
    </row>
    <row r="304" spans="1:1" ht="15.5" x14ac:dyDescent="0.35">
      <c r="A304" s="56" t="s">
        <v>436</v>
      </c>
    </row>
    <row r="305" spans="1:1" ht="15.5" x14ac:dyDescent="0.35">
      <c r="A305" s="56" t="s">
        <v>437</v>
      </c>
    </row>
    <row r="306" spans="1:1" ht="15.5" x14ac:dyDescent="0.35">
      <c r="A306" s="56" t="s">
        <v>438</v>
      </c>
    </row>
    <row r="307" spans="1:1" ht="15.5" x14ac:dyDescent="0.35">
      <c r="A307" s="56" t="s">
        <v>439</v>
      </c>
    </row>
    <row r="308" spans="1:1" ht="15.5" x14ac:dyDescent="0.35">
      <c r="A308" s="56" t="s">
        <v>440</v>
      </c>
    </row>
    <row r="309" spans="1:1" ht="15.5" x14ac:dyDescent="0.35">
      <c r="A309" s="56" t="s">
        <v>441</v>
      </c>
    </row>
    <row r="310" spans="1:1" ht="15.5" x14ac:dyDescent="0.35">
      <c r="A310" s="56" t="s">
        <v>442</v>
      </c>
    </row>
    <row r="311" spans="1:1" ht="15.5" x14ac:dyDescent="0.35">
      <c r="A311" s="56" t="s">
        <v>443</v>
      </c>
    </row>
    <row r="312" spans="1:1" ht="15.5" x14ac:dyDescent="0.35">
      <c r="A312" s="56" t="s">
        <v>444</v>
      </c>
    </row>
    <row r="313" spans="1:1" ht="15.5" x14ac:dyDescent="0.35">
      <c r="A313" s="56" t="s">
        <v>445</v>
      </c>
    </row>
    <row r="314" spans="1:1" ht="15.5" x14ac:dyDescent="0.35">
      <c r="A314" s="56" t="s">
        <v>446</v>
      </c>
    </row>
    <row r="315" spans="1:1" ht="15.5" x14ac:dyDescent="0.35">
      <c r="A315" s="56" t="s">
        <v>447</v>
      </c>
    </row>
    <row r="316" spans="1:1" ht="15.5" x14ac:dyDescent="0.35">
      <c r="A316" s="56" t="s">
        <v>448</v>
      </c>
    </row>
    <row r="317" spans="1:1" ht="15.5" x14ac:dyDescent="0.35">
      <c r="A317" s="56" t="s">
        <v>449</v>
      </c>
    </row>
    <row r="318" spans="1:1" ht="15.5" x14ac:dyDescent="0.35">
      <c r="A318" s="56" t="s">
        <v>450</v>
      </c>
    </row>
    <row r="319" spans="1:1" ht="15.5" x14ac:dyDescent="0.35">
      <c r="A319" s="56" t="s">
        <v>451</v>
      </c>
    </row>
    <row r="320" spans="1:1" ht="15.5" x14ac:dyDescent="0.35">
      <c r="A320" s="56" t="s">
        <v>452</v>
      </c>
    </row>
    <row r="321" spans="1:1" ht="15.5" x14ac:dyDescent="0.35">
      <c r="A321" s="56" t="s">
        <v>453</v>
      </c>
    </row>
    <row r="322" spans="1:1" ht="15.5" x14ac:dyDescent="0.35">
      <c r="A322" s="56" t="s">
        <v>454</v>
      </c>
    </row>
    <row r="323" spans="1:1" ht="15.5" x14ac:dyDescent="0.35">
      <c r="A323" s="56" t="s">
        <v>455</v>
      </c>
    </row>
    <row r="324" spans="1:1" ht="15.5" x14ac:dyDescent="0.35">
      <c r="A324" s="56" t="s">
        <v>456</v>
      </c>
    </row>
    <row r="325" spans="1:1" ht="15.5" x14ac:dyDescent="0.35">
      <c r="A325" s="56" t="s">
        <v>457</v>
      </c>
    </row>
    <row r="326" spans="1:1" ht="15.5" x14ac:dyDescent="0.35">
      <c r="A326" s="56" t="s">
        <v>458</v>
      </c>
    </row>
    <row r="327" spans="1:1" ht="15.5" x14ac:dyDescent="0.35">
      <c r="A327" s="56" t="s">
        <v>459</v>
      </c>
    </row>
    <row r="328" spans="1:1" ht="15.5" x14ac:dyDescent="0.35">
      <c r="A328" s="56" t="s">
        <v>460</v>
      </c>
    </row>
    <row r="329" spans="1:1" ht="15.5" x14ac:dyDescent="0.35">
      <c r="A329" s="56" t="s">
        <v>461</v>
      </c>
    </row>
    <row r="330" spans="1:1" ht="15.5" x14ac:dyDescent="0.35">
      <c r="A330" s="56" t="s">
        <v>462</v>
      </c>
    </row>
    <row r="331" spans="1:1" ht="15.5" x14ac:dyDescent="0.35">
      <c r="A331" s="56" t="s">
        <v>463</v>
      </c>
    </row>
    <row r="332" spans="1:1" ht="15.5" x14ac:dyDescent="0.35">
      <c r="A332" s="56" t="s">
        <v>464</v>
      </c>
    </row>
    <row r="333" spans="1:1" ht="15.5" x14ac:dyDescent="0.35">
      <c r="A333" s="56" t="s">
        <v>465</v>
      </c>
    </row>
    <row r="334" spans="1:1" ht="15.5" x14ac:dyDescent="0.35">
      <c r="A334" s="56" t="s">
        <v>466</v>
      </c>
    </row>
    <row r="335" spans="1:1" ht="15.5" x14ac:dyDescent="0.35">
      <c r="A335" s="56" t="s">
        <v>467</v>
      </c>
    </row>
    <row r="336" spans="1:1" ht="15.5" x14ac:dyDescent="0.35">
      <c r="A336" s="56" t="s">
        <v>468</v>
      </c>
    </row>
    <row r="337" spans="1:1" ht="15.5" x14ac:dyDescent="0.35">
      <c r="A337" s="56" t="s">
        <v>469</v>
      </c>
    </row>
    <row r="338" spans="1:1" ht="15.5" x14ac:dyDescent="0.35">
      <c r="A338" s="56" t="s">
        <v>470</v>
      </c>
    </row>
    <row r="339" spans="1:1" ht="15.5" x14ac:dyDescent="0.35">
      <c r="A339" s="56" t="s">
        <v>471</v>
      </c>
    </row>
    <row r="340" spans="1:1" ht="15.5" x14ac:dyDescent="0.35">
      <c r="A340" s="56" t="s">
        <v>472</v>
      </c>
    </row>
    <row r="341" spans="1:1" ht="15.5" x14ac:dyDescent="0.35">
      <c r="A341" s="56" t="s">
        <v>473</v>
      </c>
    </row>
    <row r="342" spans="1:1" ht="15.5" x14ac:dyDescent="0.35">
      <c r="A342" s="56" t="s">
        <v>474</v>
      </c>
    </row>
    <row r="343" spans="1:1" ht="15.5" x14ac:dyDescent="0.35">
      <c r="A343" s="56" t="s">
        <v>475</v>
      </c>
    </row>
    <row r="344" spans="1:1" ht="15.5" x14ac:dyDescent="0.35">
      <c r="A344" s="56" t="s">
        <v>476</v>
      </c>
    </row>
    <row r="345" spans="1:1" ht="15.5" x14ac:dyDescent="0.35">
      <c r="A345" s="56" t="s">
        <v>477</v>
      </c>
    </row>
    <row r="346" spans="1:1" ht="15.5" x14ac:dyDescent="0.35">
      <c r="A346" s="56" t="s">
        <v>478</v>
      </c>
    </row>
    <row r="347" spans="1:1" ht="15.5" x14ac:dyDescent="0.35">
      <c r="A347" s="56" t="s">
        <v>479</v>
      </c>
    </row>
    <row r="348" spans="1:1" ht="15.5" x14ac:dyDescent="0.35">
      <c r="A348" s="56" t="s">
        <v>480</v>
      </c>
    </row>
    <row r="349" spans="1:1" ht="15.5" x14ac:dyDescent="0.35">
      <c r="A349" s="56" t="s">
        <v>481</v>
      </c>
    </row>
    <row r="350" spans="1:1" ht="15.5" x14ac:dyDescent="0.35">
      <c r="A350" s="56" t="s">
        <v>482</v>
      </c>
    </row>
    <row r="351" spans="1:1" ht="15.5" x14ac:dyDescent="0.35">
      <c r="A351" s="56" t="s">
        <v>483</v>
      </c>
    </row>
    <row r="352" spans="1:1" ht="15.5" x14ac:dyDescent="0.35">
      <c r="A352" s="56" t="s">
        <v>484</v>
      </c>
    </row>
    <row r="353" spans="1:1" ht="15.5" x14ac:dyDescent="0.35">
      <c r="A353" s="56" t="s">
        <v>485</v>
      </c>
    </row>
    <row r="354" spans="1:1" ht="15.5" x14ac:dyDescent="0.35">
      <c r="A354" s="56" t="s">
        <v>486</v>
      </c>
    </row>
    <row r="355" spans="1:1" ht="15.5" x14ac:dyDescent="0.35">
      <c r="A355" s="56" t="s">
        <v>487</v>
      </c>
    </row>
    <row r="356" spans="1:1" ht="15.5" x14ac:dyDescent="0.35">
      <c r="A356" s="56" t="s">
        <v>488</v>
      </c>
    </row>
    <row r="357" spans="1:1" ht="15.5" x14ac:dyDescent="0.35">
      <c r="A357" s="56" t="s">
        <v>489</v>
      </c>
    </row>
    <row r="358" spans="1:1" ht="15.5" x14ac:dyDescent="0.35">
      <c r="A358" s="56" t="s">
        <v>490</v>
      </c>
    </row>
    <row r="359" spans="1:1" ht="15.5" x14ac:dyDescent="0.35">
      <c r="A359" s="56" t="s">
        <v>491</v>
      </c>
    </row>
    <row r="360" spans="1:1" ht="15.5" x14ac:dyDescent="0.35">
      <c r="A360" s="56" t="s">
        <v>492</v>
      </c>
    </row>
    <row r="361" spans="1:1" ht="15.5" x14ac:dyDescent="0.35">
      <c r="A361" s="56" t="s">
        <v>493</v>
      </c>
    </row>
    <row r="362" spans="1:1" ht="15.5" x14ac:dyDescent="0.35">
      <c r="A362" s="56" t="s">
        <v>494</v>
      </c>
    </row>
    <row r="363" spans="1:1" ht="15.5" x14ac:dyDescent="0.35">
      <c r="A363" s="56" t="s">
        <v>495</v>
      </c>
    </row>
    <row r="364" spans="1:1" ht="15.5" x14ac:dyDescent="0.35">
      <c r="A364" s="56" t="s">
        <v>496</v>
      </c>
    </row>
    <row r="365" spans="1:1" ht="15.5" x14ac:dyDescent="0.35">
      <c r="A365" s="56" t="s">
        <v>497</v>
      </c>
    </row>
    <row r="366" spans="1:1" ht="15.5" x14ac:dyDescent="0.35">
      <c r="A366" s="56" t="s">
        <v>498</v>
      </c>
    </row>
    <row r="367" spans="1:1" ht="15.5" x14ac:dyDescent="0.35">
      <c r="A367" s="56" t="s">
        <v>499</v>
      </c>
    </row>
    <row r="368" spans="1:1" ht="15.5" x14ac:dyDescent="0.35">
      <c r="A368" s="56" t="s">
        <v>500</v>
      </c>
    </row>
    <row r="369" spans="1:1" ht="15.5" x14ac:dyDescent="0.35">
      <c r="A369" s="56" t="s">
        <v>501</v>
      </c>
    </row>
    <row r="370" spans="1:1" ht="15.5" x14ac:dyDescent="0.35">
      <c r="A370" s="56" t="s">
        <v>502</v>
      </c>
    </row>
    <row r="371" spans="1:1" ht="15.5" x14ac:dyDescent="0.35">
      <c r="A371" s="56" t="s">
        <v>503</v>
      </c>
    </row>
    <row r="372" spans="1:1" ht="15.5" x14ac:dyDescent="0.35">
      <c r="A372" s="56" t="s">
        <v>504</v>
      </c>
    </row>
    <row r="373" spans="1:1" ht="15.5" x14ac:dyDescent="0.35">
      <c r="A373" s="56" t="s">
        <v>505</v>
      </c>
    </row>
    <row r="374" spans="1:1" ht="15.5" x14ac:dyDescent="0.35">
      <c r="A374" s="56" t="s">
        <v>506</v>
      </c>
    </row>
    <row r="375" spans="1:1" ht="15.5" x14ac:dyDescent="0.35">
      <c r="A375" s="56" t="s">
        <v>507</v>
      </c>
    </row>
    <row r="376" spans="1:1" ht="15.5" x14ac:dyDescent="0.35">
      <c r="A376" s="56" t="s">
        <v>508</v>
      </c>
    </row>
    <row r="377" spans="1:1" ht="15.5" x14ac:dyDescent="0.35">
      <c r="A377" s="56" t="s">
        <v>509</v>
      </c>
    </row>
    <row r="378" spans="1:1" ht="15.5" x14ac:dyDescent="0.35">
      <c r="A378" s="56" t="s">
        <v>510</v>
      </c>
    </row>
    <row r="379" spans="1:1" ht="15.5" x14ac:dyDescent="0.35">
      <c r="A379" s="56" t="s">
        <v>511</v>
      </c>
    </row>
    <row r="380" spans="1:1" ht="15.5" x14ac:dyDescent="0.35">
      <c r="A380" s="56" t="s">
        <v>512</v>
      </c>
    </row>
    <row r="381" spans="1:1" ht="15.5" x14ac:dyDescent="0.35">
      <c r="A381" s="56" t="s">
        <v>513</v>
      </c>
    </row>
    <row r="382" spans="1:1" ht="15.5" x14ac:dyDescent="0.35">
      <c r="A382" s="56" t="s">
        <v>514</v>
      </c>
    </row>
    <row r="383" spans="1:1" ht="15.5" x14ac:dyDescent="0.35">
      <c r="A383" s="56" t="s">
        <v>515</v>
      </c>
    </row>
    <row r="384" spans="1:1" ht="15.5" x14ac:dyDescent="0.35">
      <c r="A384" s="56" t="s">
        <v>516</v>
      </c>
    </row>
    <row r="385" spans="1:1" ht="15.5" x14ac:dyDescent="0.35">
      <c r="A385" s="56" t="s">
        <v>517</v>
      </c>
    </row>
    <row r="386" spans="1:1" ht="15.5" x14ac:dyDescent="0.35">
      <c r="A386" s="56" t="s">
        <v>518</v>
      </c>
    </row>
    <row r="387" spans="1:1" ht="15.5" x14ac:dyDescent="0.35">
      <c r="A387" s="56" t="s">
        <v>519</v>
      </c>
    </row>
    <row r="388" spans="1:1" ht="15.5" x14ac:dyDescent="0.35">
      <c r="A388" s="56" t="s">
        <v>520</v>
      </c>
    </row>
    <row r="389" spans="1:1" ht="15.5" x14ac:dyDescent="0.35">
      <c r="A389" s="56" t="s">
        <v>521</v>
      </c>
    </row>
    <row r="390" spans="1:1" ht="15.5" x14ac:dyDescent="0.35">
      <c r="A390" s="56" t="s">
        <v>522</v>
      </c>
    </row>
    <row r="391" spans="1:1" ht="15.5" x14ac:dyDescent="0.35">
      <c r="A391" s="56" t="s">
        <v>523</v>
      </c>
    </row>
    <row r="392" spans="1:1" ht="15.5" x14ac:dyDescent="0.35">
      <c r="A392" s="56" t="s">
        <v>524</v>
      </c>
    </row>
    <row r="393" spans="1:1" ht="15.5" x14ac:dyDescent="0.35">
      <c r="A393" s="56" t="s">
        <v>525</v>
      </c>
    </row>
    <row r="394" spans="1:1" ht="15.5" x14ac:dyDescent="0.35">
      <c r="A394" s="56" t="s">
        <v>526</v>
      </c>
    </row>
    <row r="395" spans="1:1" ht="15.5" x14ac:dyDescent="0.35">
      <c r="A395" s="56" t="s">
        <v>527</v>
      </c>
    </row>
    <row r="396" spans="1:1" ht="15.5" x14ac:dyDescent="0.35">
      <c r="A396" s="56" t="s">
        <v>528</v>
      </c>
    </row>
    <row r="397" spans="1:1" ht="15.5" x14ac:dyDescent="0.35">
      <c r="A397" s="56" t="s">
        <v>529</v>
      </c>
    </row>
    <row r="398" spans="1:1" ht="15.5" x14ac:dyDescent="0.35">
      <c r="A398" s="56" t="s">
        <v>530</v>
      </c>
    </row>
    <row r="399" spans="1:1" ht="15.5" x14ac:dyDescent="0.35">
      <c r="A399" s="56" t="s">
        <v>531</v>
      </c>
    </row>
    <row r="400" spans="1:1" ht="15.5" x14ac:dyDescent="0.35">
      <c r="A400" s="56" t="s">
        <v>532</v>
      </c>
    </row>
    <row r="401" spans="1:1" ht="15.5" x14ac:dyDescent="0.35">
      <c r="A401" s="56" t="s">
        <v>533</v>
      </c>
    </row>
    <row r="402" spans="1:1" ht="15.5" x14ac:dyDescent="0.35">
      <c r="A402" s="56" t="s">
        <v>534</v>
      </c>
    </row>
    <row r="403" spans="1:1" ht="15.5" x14ac:dyDescent="0.35">
      <c r="A403" s="56" t="s">
        <v>535</v>
      </c>
    </row>
    <row r="404" spans="1:1" ht="15.5" x14ac:dyDescent="0.35">
      <c r="A404" s="56" t="s">
        <v>536</v>
      </c>
    </row>
    <row r="405" spans="1:1" ht="15.5" x14ac:dyDescent="0.35">
      <c r="A405" s="56" t="s">
        <v>537</v>
      </c>
    </row>
    <row r="406" spans="1:1" ht="15.5" x14ac:dyDescent="0.35">
      <c r="A406" s="56" t="s">
        <v>538</v>
      </c>
    </row>
    <row r="407" spans="1:1" ht="15.5" x14ac:dyDescent="0.35">
      <c r="A407" s="56" t="s">
        <v>539</v>
      </c>
    </row>
    <row r="408" spans="1:1" ht="15.5" x14ac:dyDescent="0.35">
      <c r="A408" s="56" t="s">
        <v>540</v>
      </c>
    </row>
    <row r="409" spans="1:1" ht="15.5" x14ac:dyDescent="0.35">
      <c r="A409" s="56" t="s">
        <v>541</v>
      </c>
    </row>
    <row r="410" spans="1:1" ht="15.5" x14ac:dyDescent="0.35">
      <c r="A410" s="56" t="s">
        <v>542</v>
      </c>
    </row>
    <row r="411" spans="1:1" ht="15.5" x14ac:dyDescent="0.35">
      <c r="A411" s="56" t="s">
        <v>543</v>
      </c>
    </row>
    <row r="412" spans="1:1" ht="15.5" x14ac:dyDescent="0.35">
      <c r="A412" s="56" t="s">
        <v>544</v>
      </c>
    </row>
    <row r="413" spans="1:1" ht="15.5" x14ac:dyDescent="0.35">
      <c r="A413" s="56" t="s">
        <v>545</v>
      </c>
    </row>
    <row r="414" spans="1:1" ht="15.5" x14ac:dyDescent="0.35">
      <c r="A414" s="56" t="s">
        <v>546</v>
      </c>
    </row>
    <row r="415" spans="1:1" ht="15.5" x14ac:dyDescent="0.35">
      <c r="A415" s="56" t="s">
        <v>547</v>
      </c>
    </row>
    <row r="416" spans="1:1" ht="15.5" x14ac:dyDescent="0.35">
      <c r="A416" s="56" t="s">
        <v>548</v>
      </c>
    </row>
    <row r="417" spans="1:1" ht="15.5" x14ac:dyDescent="0.35">
      <c r="A417" s="56" t="s">
        <v>549</v>
      </c>
    </row>
    <row r="418" spans="1:1" ht="15.5" x14ac:dyDescent="0.35">
      <c r="A418" s="56" t="s">
        <v>550</v>
      </c>
    </row>
    <row r="419" spans="1:1" ht="15.5" x14ac:dyDescent="0.35">
      <c r="A419" s="56" t="s">
        <v>551</v>
      </c>
    </row>
    <row r="420" spans="1:1" ht="15.5" x14ac:dyDescent="0.35">
      <c r="A420" s="56" t="s">
        <v>552</v>
      </c>
    </row>
    <row r="421" spans="1:1" ht="15.5" x14ac:dyDescent="0.35">
      <c r="A421" s="56" t="s">
        <v>553</v>
      </c>
    </row>
    <row r="422" spans="1:1" ht="15.5" x14ac:dyDescent="0.35">
      <c r="A422" s="56" t="s">
        <v>554</v>
      </c>
    </row>
    <row r="423" spans="1:1" ht="15.5" x14ac:dyDescent="0.35">
      <c r="A423" s="56" t="s">
        <v>555</v>
      </c>
    </row>
    <row r="424" spans="1:1" ht="15.5" x14ac:dyDescent="0.35">
      <c r="A424" s="56" t="s">
        <v>556</v>
      </c>
    </row>
    <row r="425" spans="1:1" ht="15.5" x14ac:dyDescent="0.35">
      <c r="A425" s="56" t="s">
        <v>557</v>
      </c>
    </row>
    <row r="426" spans="1:1" ht="15.5" x14ac:dyDescent="0.35">
      <c r="A426" s="56" t="s">
        <v>558</v>
      </c>
    </row>
    <row r="427" spans="1:1" ht="15.5" x14ac:dyDescent="0.35">
      <c r="A427" s="56" t="s">
        <v>559</v>
      </c>
    </row>
    <row r="428" spans="1:1" ht="15.5" x14ac:dyDescent="0.35">
      <c r="A428" s="56" t="s">
        <v>560</v>
      </c>
    </row>
    <row r="429" spans="1:1" ht="15.5" x14ac:dyDescent="0.35">
      <c r="A429" s="56" t="s">
        <v>561</v>
      </c>
    </row>
    <row r="430" spans="1:1" ht="15.5" x14ac:dyDescent="0.35">
      <c r="A430" s="56" t="s">
        <v>562</v>
      </c>
    </row>
    <row r="431" spans="1:1" ht="15.5" x14ac:dyDescent="0.35">
      <c r="A431" s="56" t="s">
        <v>563</v>
      </c>
    </row>
    <row r="432" spans="1:1" ht="15.5" x14ac:dyDescent="0.35">
      <c r="A432" s="56" t="s">
        <v>564</v>
      </c>
    </row>
    <row r="433" spans="1:1" ht="15.5" x14ac:dyDescent="0.35">
      <c r="A433" s="56" t="s">
        <v>565</v>
      </c>
    </row>
    <row r="434" spans="1:1" ht="15.5" x14ac:dyDescent="0.35">
      <c r="A434" s="56" t="s">
        <v>566</v>
      </c>
    </row>
    <row r="435" spans="1:1" ht="15.5" x14ac:dyDescent="0.35">
      <c r="A435" s="56" t="s">
        <v>567</v>
      </c>
    </row>
    <row r="436" spans="1:1" ht="15.5" x14ac:dyDescent="0.35">
      <c r="A436" s="56" t="s">
        <v>568</v>
      </c>
    </row>
    <row r="437" spans="1:1" ht="15.5" x14ac:dyDescent="0.35">
      <c r="A437" s="56" t="s">
        <v>569</v>
      </c>
    </row>
    <row r="438" spans="1:1" ht="15.5" x14ac:dyDescent="0.35">
      <c r="A438" s="56" t="s">
        <v>570</v>
      </c>
    </row>
    <row r="439" spans="1:1" ht="15.5" x14ac:dyDescent="0.35">
      <c r="A439" s="56" t="s">
        <v>571</v>
      </c>
    </row>
    <row r="440" spans="1:1" ht="15.5" x14ac:dyDescent="0.35">
      <c r="A440" s="56" t="s">
        <v>572</v>
      </c>
    </row>
    <row r="441" spans="1:1" ht="15.5" x14ac:dyDescent="0.35">
      <c r="A441" s="56" t="s">
        <v>573</v>
      </c>
    </row>
    <row r="442" spans="1:1" ht="15.5" x14ac:dyDescent="0.35">
      <c r="A442" s="56" t="s">
        <v>574</v>
      </c>
    </row>
    <row r="443" spans="1:1" ht="15.5" x14ac:dyDescent="0.35">
      <c r="A443" s="56" t="s">
        <v>575</v>
      </c>
    </row>
    <row r="444" spans="1:1" ht="15.5" x14ac:dyDescent="0.35">
      <c r="A444" s="56" t="s">
        <v>576</v>
      </c>
    </row>
    <row r="445" spans="1:1" ht="15.5" x14ac:dyDescent="0.35">
      <c r="A445" s="56" t="s">
        <v>577</v>
      </c>
    </row>
    <row r="446" spans="1:1" ht="15.5" x14ac:dyDescent="0.35">
      <c r="A446" s="56" t="s">
        <v>578</v>
      </c>
    </row>
    <row r="447" spans="1:1" ht="15.5" x14ac:dyDescent="0.35">
      <c r="A447" s="56" t="s">
        <v>579</v>
      </c>
    </row>
    <row r="448" spans="1:1" ht="15.5" x14ac:dyDescent="0.35">
      <c r="A448" s="56" t="s">
        <v>580</v>
      </c>
    </row>
    <row r="449" spans="1:1" ht="15.5" x14ac:dyDescent="0.35">
      <c r="A449" s="56" t="s">
        <v>581</v>
      </c>
    </row>
    <row r="450" spans="1:1" ht="15.5" x14ac:dyDescent="0.35">
      <c r="A450" s="56" t="s">
        <v>582</v>
      </c>
    </row>
    <row r="451" spans="1:1" ht="15.5" x14ac:dyDescent="0.35">
      <c r="A451" s="56" t="s">
        <v>583</v>
      </c>
    </row>
    <row r="452" spans="1:1" ht="15.5" x14ac:dyDescent="0.35">
      <c r="A452" s="56" t="s">
        <v>584</v>
      </c>
    </row>
    <row r="453" spans="1:1" ht="15.5" x14ac:dyDescent="0.35">
      <c r="A453" s="56" t="s">
        <v>585</v>
      </c>
    </row>
    <row r="454" spans="1:1" ht="15.5" x14ac:dyDescent="0.35">
      <c r="A454" s="56" t="s">
        <v>586</v>
      </c>
    </row>
    <row r="455" spans="1:1" ht="15.5" x14ac:dyDescent="0.35">
      <c r="A455" s="56" t="s">
        <v>587</v>
      </c>
    </row>
    <row r="456" spans="1:1" ht="15.5" x14ac:dyDescent="0.35">
      <c r="A456" s="56" t="s">
        <v>588</v>
      </c>
    </row>
    <row r="457" spans="1:1" ht="15.5" x14ac:dyDescent="0.35">
      <c r="A457" s="56" t="s">
        <v>589</v>
      </c>
    </row>
    <row r="458" spans="1:1" ht="15.5" x14ac:dyDescent="0.35">
      <c r="A458" s="56" t="s">
        <v>590</v>
      </c>
    </row>
    <row r="459" spans="1:1" ht="15.5" x14ac:dyDescent="0.35">
      <c r="A459" s="56" t="s">
        <v>591</v>
      </c>
    </row>
    <row r="460" spans="1:1" ht="15.5" x14ac:dyDescent="0.35">
      <c r="A460" s="56" t="s">
        <v>592</v>
      </c>
    </row>
    <row r="461" spans="1:1" ht="15.5" x14ac:dyDescent="0.35">
      <c r="A461" s="56" t="s">
        <v>593</v>
      </c>
    </row>
    <row r="462" spans="1:1" ht="15.5" x14ac:dyDescent="0.35">
      <c r="A462" s="56" t="s">
        <v>594</v>
      </c>
    </row>
    <row r="463" spans="1:1" ht="15.5" x14ac:dyDescent="0.35">
      <c r="A463" s="56" t="s">
        <v>595</v>
      </c>
    </row>
    <row r="464" spans="1:1" ht="15.5" x14ac:dyDescent="0.35">
      <c r="A464" s="56" t="s">
        <v>596</v>
      </c>
    </row>
    <row r="465" spans="1:1" ht="15.5" x14ac:dyDescent="0.35">
      <c r="A465" s="56" t="s">
        <v>597</v>
      </c>
    </row>
    <row r="466" spans="1:1" ht="15.5" x14ac:dyDescent="0.35">
      <c r="A466" s="56" t="s">
        <v>598</v>
      </c>
    </row>
    <row r="467" spans="1:1" ht="15.5" x14ac:dyDescent="0.35">
      <c r="A467" s="56" t="s">
        <v>599</v>
      </c>
    </row>
    <row r="468" spans="1:1" ht="15.5" x14ac:dyDescent="0.35">
      <c r="A468" s="56" t="s">
        <v>600</v>
      </c>
    </row>
    <row r="469" spans="1:1" ht="15.5" x14ac:dyDescent="0.35">
      <c r="A469" s="56" t="s">
        <v>601</v>
      </c>
    </row>
    <row r="470" spans="1:1" ht="15.5" x14ac:dyDescent="0.35">
      <c r="A470" s="56" t="s">
        <v>602</v>
      </c>
    </row>
    <row r="471" spans="1:1" ht="15.5" x14ac:dyDescent="0.35">
      <c r="A471" s="56" t="s">
        <v>603</v>
      </c>
    </row>
    <row r="472" spans="1:1" ht="15.5" x14ac:dyDescent="0.35">
      <c r="A472" s="56" t="s">
        <v>604</v>
      </c>
    </row>
    <row r="473" spans="1:1" ht="15.5" x14ac:dyDescent="0.35">
      <c r="A473" s="56" t="s">
        <v>605</v>
      </c>
    </row>
    <row r="474" spans="1:1" ht="15.5" x14ac:dyDescent="0.35">
      <c r="A474" s="56" t="s">
        <v>606</v>
      </c>
    </row>
    <row r="475" spans="1:1" ht="15.5" x14ac:dyDescent="0.35">
      <c r="A475" s="56" t="s">
        <v>607</v>
      </c>
    </row>
    <row r="476" spans="1:1" ht="15.5" x14ac:dyDescent="0.35">
      <c r="A476" s="56" t="s">
        <v>608</v>
      </c>
    </row>
    <row r="477" spans="1:1" ht="15.5" x14ac:dyDescent="0.35">
      <c r="A477" s="56" t="s">
        <v>609</v>
      </c>
    </row>
    <row r="478" spans="1:1" ht="15.5" x14ac:dyDescent="0.35">
      <c r="A478" s="56" t="s">
        <v>610</v>
      </c>
    </row>
    <row r="479" spans="1:1" ht="15.5" x14ac:dyDescent="0.35">
      <c r="A479" s="56" t="s">
        <v>611</v>
      </c>
    </row>
    <row r="480" spans="1:1" ht="15.5" x14ac:dyDescent="0.35">
      <c r="A480" s="56" t="s">
        <v>612</v>
      </c>
    </row>
    <row r="481" spans="1:1" ht="15.5" x14ac:dyDescent="0.35">
      <c r="A481" s="56" t="s">
        <v>613</v>
      </c>
    </row>
    <row r="482" spans="1:1" ht="15.5" x14ac:dyDescent="0.35">
      <c r="A482" s="56" t="s">
        <v>614</v>
      </c>
    </row>
    <row r="483" spans="1:1" ht="15.5" x14ac:dyDescent="0.35">
      <c r="A483" s="56" t="s">
        <v>615</v>
      </c>
    </row>
    <row r="484" spans="1:1" ht="15.5" x14ac:dyDescent="0.35">
      <c r="A484" s="56" t="s">
        <v>616</v>
      </c>
    </row>
    <row r="485" spans="1:1" ht="15.5" x14ac:dyDescent="0.35">
      <c r="A485" s="56" t="s">
        <v>617</v>
      </c>
    </row>
    <row r="486" spans="1:1" ht="15.5" x14ac:dyDescent="0.35">
      <c r="A486" s="56" t="s">
        <v>618</v>
      </c>
    </row>
    <row r="487" spans="1:1" ht="15.5" x14ac:dyDescent="0.35">
      <c r="A487" s="56" t="s">
        <v>619</v>
      </c>
    </row>
    <row r="488" spans="1:1" ht="15.5" x14ac:dyDescent="0.35">
      <c r="A488" s="56" t="s">
        <v>620</v>
      </c>
    </row>
    <row r="489" spans="1:1" ht="15.5" x14ac:dyDescent="0.35">
      <c r="A489" s="56" t="s">
        <v>621</v>
      </c>
    </row>
    <row r="490" spans="1:1" ht="15.5" x14ac:dyDescent="0.35">
      <c r="A490" s="56" t="s">
        <v>622</v>
      </c>
    </row>
    <row r="491" spans="1:1" ht="15.5" x14ac:dyDescent="0.35">
      <c r="A491" s="56" t="s">
        <v>623</v>
      </c>
    </row>
    <row r="492" spans="1:1" ht="15.5" x14ac:dyDescent="0.35">
      <c r="A492" s="56" t="s">
        <v>624</v>
      </c>
    </row>
    <row r="493" spans="1:1" ht="15.5" x14ac:dyDescent="0.35">
      <c r="A493" s="56" t="s">
        <v>625</v>
      </c>
    </row>
    <row r="494" spans="1:1" ht="15.5" x14ac:dyDescent="0.35">
      <c r="A494" s="56" t="s">
        <v>626</v>
      </c>
    </row>
    <row r="495" spans="1:1" ht="15.5" x14ac:dyDescent="0.35">
      <c r="A495" s="56" t="s">
        <v>627</v>
      </c>
    </row>
    <row r="496" spans="1:1" ht="15.5" x14ac:dyDescent="0.35">
      <c r="A496" s="56" t="s">
        <v>628</v>
      </c>
    </row>
    <row r="497" spans="1:1" ht="15.5" x14ac:dyDescent="0.35">
      <c r="A497" s="56" t="s">
        <v>629</v>
      </c>
    </row>
    <row r="498" spans="1:1" ht="15.5" x14ac:dyDescent="0.35">
      <c r="A498" s="56" t="s">
        <v>630</v>
      </c>
    </row>
    <row r="499" spans="1:1" ht="15.5" x14ac:dyDescent="0.35">
      <c r="A499" s="56" t="s">
        <v>631</v>
      </c>
    </row>
    <row r="500" spans="1:1" ht="15.5" x14ac:dyDescent="0.35">
      <c r="A500" s="56" t="s">
        <v>632</v>
      </c>
    </row>
    <row r="501" spans="1:1" ht="15.5" x14ac:dyDescent="0.35">
      <c r="A501" s="56" t="s">
        <v>633</v>
      </c>
    </row>
    <row r="502" spans="1:1" ht="15.5" x14ac:dyDescent="0.35">
      <c r="A502" s="56" t="s">
        <v>634</v>
      </c>
    </row>
    <row r="503" spans="1:1" ht="15.5" x14ac:dyDescent="0.35">
      <c r="A503" s="56" t="s">
        <v>635</v>
      </c>
    </row>
    <row r="504" spans="1:1" ht="15.5" x14ac:dyDescent="0.35">
      <c r="A504" s="56" t="s">
        <v>636</v>
      </c>
    </row>
    <row r="505" spans="1:1" ht="15.5" x14ac:dyDescent="0.35">
      <c r="A505" s="56" t="s">
        <v>637</v>
      </c>
    </row>
    <row r="506" spans="1:1" ht="15.5" x14ac:dyDescent="0.35">
      <c r="A506" s="56" t="s">
        <v>638</v>
      </c>
    </row>
    <row r="507" spans="1:1" ht="15.5" x14ac:dyDescent="0.35">
      <c r="A507" s="56" t="s">
        <v>639</v>
      </c>
    </row>
    <row r="508" spans="1:1" ht="15.5" x14ac:dyDescent="0.35">
      <c r="A508" s="56" t="s">
        <v>640</v>
      </c>
    </row>
    <row r="509" spans="1:1" ht="15.5" x14ac:dyDescent="0.35">
      <c r="A509" s="56" t="s">
        <v>641</v>
      </c>
    </row>
    <row r="510" spans="1:1" ht="15.5" x14ac:dyDescent="0.35">
      <c r="A510" s="56" t="s">
        <v>642</v>
      </c>
    </row>
    <row r="511" spans="1:1" ht="15.5" x14ac:dyDescent="0.35">
      <c r="A511" s="56" t="s">
        <v>643</v>
      </c>
    </row>
    <row r="512" spans="1:1" ht="15.5" x14ac:dyDescent="0.35">
      <c r="A512" s="56" t="s">
        <v>644</v>
      </c>
    </row>
    <row r="513" spans="1:1" ht="15.5" x14ac:dyDescent="0.35">
      <c r="A513" s="56" t="s">
        <v>645</v>
      </c>
    </row>
    <row r="514" spans="1:1" ht="15.5" x14ac:dyDescent="0.35">
      <c r="A514" s="56" t="s">
        <v>646</v>
      </c>
    </row>
    <row r="515" spans="1:1" ht="15.5" x14ac:dyDescent="0.35">
      <c r="A515" s="56" t="s">
        <v>647</v>
      </c>
    </row>
    <row r="516" spans="1:1" ht="15.5" x14ac:dyDescent="0.35">
      <c r="A516" s="56" t="s">
        <v>648</v>
      </c>
    </row>
    <row r="517" spans="1:1" ht="15.5" x14ac:dyDescent="0.35">
      <c r="A517" s="56" t="s">
        <v>649</v>
      </c>
    </row>
    <row r="518" spans="1:1" ht="15.5" x14ac:dyDescent="0.35">
      <c r="A518" s="56" t="s">
        <v>650</v>
      </c>
    </row>
    <row r="519" spans="1:1" ht="15.5" x14ac:dyDescent="0.35">
      <c r="A519" s="56" t="s">
        <v>651</v>
      </c>
    </row>
    <row r="520" spans="1:1" ht="15.5" x14ac:dyDescent="0.35">
      <c r="A520" s="56" t="s">
        <v>652</v>
      </c>
    </row>
    <row r="521" spans="1:1" ht="15.5" x14ac:dyDescent="0.35">
      <c r="A521" s="56" t="s">
        <v>653</v>
      </c>
    </row>
    <row r="522" spans="1:1" ht="15.5" x14ac:dyDescent="0.35">
      <c r="A522" s="56" t="s">
        <v>654</v>
      </c>
    </row>
    <row r="523" spans="1:1" ht="15.5" x14ac:dyDescent="0.35">
      <c r="A523" s="56" t="s">
        <v>655</v>
      </c>
    </row>
    <row r="524" spans="1:1" ht="15.5" x14ac:dyDescent="0.35">
      <c r="A524" s="56" t="s">
        <v>656</v>
      </c>
    </row>
    <row r="525" spans="1:1" ht="15.5" x14ac:dyDescent="0.35">
      <c r="A525" s="56" t="s">
        <v>657</v>
      </c>
    </row>
    <row r="526" spans="1:1" ht="15.5" x14ac:dyDescent="0.35">
      <c r="A526" s="56" t="s">
        <v>658</v>
      </c>
    </row>
    <row r="527" spans="1:1" ht="15.5" x14ac:dyDescent="0.35">
      <c r="A527" s="56" t="s">
        <v>659</v>
      </c>
    </row>
    <row r="528" spans="1:1" ht="15.5" x14ac:dyDescent="0.35">
      <c r="A528" s="56" t="s">
        <v>660</v>
      </c>
    </row>
    <row r="529" spans="1:1" ht="15.5" x14ac:dyDescent="0.35">
      <c r="A529" s="56" t="s">
        <v>661</v>
      </c>
    </row>
    <row r="530" spans="1:1" ht="15.5" x14ac:dyDescent="0.35">
      <c r="A530" s="56" t="s">
        <v>662</v>
      </c>
    </row>
    <row r="531" spans="1:1" ht="15.5" x14ac:dyDescent="0.35">
      <c r="A531" s="56" t="s">
        <v>663</v>
      </c>
    </row>
    <row r="532" spans="1:1" ht="15.5" x14ac:dyDescent="0.35">
      <c r="A532" s="56" t="s">
        <v>664</v>
      </c>
    </row>
    <row r="533" spans="1:1" ht="15.5" x14ac:dyDescent="0.35">
      <c r="A533" s="56" t="s">
        <v>665</v>
      </c>
    </row>
    <row r="534" spans="1:1" ht="15.5" x14ac:dyDescent="0.35">
      <c r="A534" s="56" t="s">
        <v>666</v>
      </c>
    </row>
    <row r="535" spans="1:1" ht="15.5" x14ac:dyDescent="0.35">
      <c r="A535" s="56" t="s">
        <v>667</v>
      </c>
    </row>
    <row r="536" spans="1:1" ht="15.5" x14ac:dyDescent="0.35">
      <c r="A536" s="56" t="s">
        <v>668</v>
      </c>
    </row>
    <row r="537" spans="1:1" ht="15.5" x14ac:dyDescent="0.35">
      <c r="A537" s="56" t="s">
        <v>669</v>
      </c>
    </row>
    <row r="538" spans="1:1" ht="15.5" x14ac:dyDescent="0.35">
      <c r="A538" s="56" t="s">
        <v>670</v>
      </c>
    </row>
    <row r="539" spans="1:1" ht="15.5" x14ac:dyDescent="0.35">
      <c r="A539" s="56" t="s">
        <v>671</v>
      </c>
    </row>
    <row r="540" spans="1:1" ht="15.5" x14ac:dyDescent="0.35">
      <c r="A540" s="56" t="s">
        <v>672</v>
      </c>
    </row>
    <row r="541" spans="1:1" ht="15.5" x14ac:dyDescent="0.35">
      <c r="A541" s="56" t="s">
        <v>673</v>
      </c>
    </row>
    <row r="542" spans="1:1" ht="15.5" x14ac:dyDescent="0.35">
      <c r="A542" s="56" t="s">
        <v>674</v>
      </c>
    </row>
    <row r="543" spans="1:1" ht="15.5" x14ac:dyDescent="0.35">
      <c r="A543" s="56" t="s">
        <v>675</v>
      </c>
    </row>
    <row r="544" spans="1:1" ht="15.5" x14ac:dyDescent="0.35">
      <c r="A544" s="56" t="s">
        <v>676</v>
      </c>
    </row>
    <row r="545" spans="1:1" ht="15.5" x14ac:dyDescent="0.35">
      <c r="A545" s="56" t="s">
        <v>677</v>
      </c>
    </row>
    <row r="546" spans="1:1" ht="15.5" x14ac:dyDescent="0.35">
      <c r="A546" s="56" t="s">
        <v>678</v>
      </c>
    </row>
    <row r="547" spans="1:1" ht="15.5" x14ac:dyDescent="0.35">
      <c r="A547" s="56" t="s">
        <v>679</v>
      </c>
    </row>
    <row r="548" spans="1:1" ht="15.5" x14ac:dyDescent="0.35">
      <c r="A548" s="56" t="s">
        <v>680</v>
      </c>
    </row>
    <row r="549" spans="1:1" ht="15.5" x14ac:dyDescent="0.35">
      <c r="A549" s="56" t="s">
        <v>681</v>
      </c>
    </row>
    <row r="550" spans="1:1" ht="15.5" x14ac:dyDescent="0.35">
      <c r="A550" s="56" t="s">
        <v>682</v>
      </c>
    </row>
    <row r="551" spans="1:1" ht="15.5" x14ac:dyDescent="0.35">
      <c r="A551" s="56" t="s">
        <v>683</v>
      </c>
    </row>
    <row r="552" spans="1:1" ht="15.5" x14ac:dyDescent="0.35">
      <c r="A552" s="56" t="s">
        <v>684</v>
      </c>
    </row>
    <row r="553" spans="1:1" ht="15.5" x14ac:dyDescent="0.35">
      <c r="A553" s="56" t="s">
        <v>685</v>
      </c>
    </row>
    <row r="554" spans="1:1" ht="15.5" x14ac:dyDescent="0.35">
      <c r="A554" s="56" t="s">
        <v>686</v>
      </c>
    </row>
    <row r="555" spans="1:1" ht="15.5" x14ac:dyDescent="0.35">
      <c r="A555" s="56" t="s">
        <v>687</v>
      </c>
    </row>
    <row r="556" spans="1:1" ht="15.5" x14ac:dyDescent="0.35">
      <c r="A556" s="56" t="s">
        <v>688</v>
      </c>
    </row>
    <row r="557" spans="1:1" ht="15.5" x14ac:dyDescent="0.35">
      <c r="A557" s="56" t="s">
        <v>689</v>
      </c>
    </row>
    <row r="558" spans="1:1" ht="15.5" x14ac:dyDescent="0.35">
      <c r="A558" s="56" t="s">
        <v>690</v>
      </c>
    </row>
    <row r="559" spans="1:1" ht="15.5" x14ac:dyDescent="0.35">
      <c r="A559" s="56" t="s">
        <v>691</v>
      </c>
    </row>
    <row r="560" spans="1:1" ht="15.5" x14ac:dyDescent="0.35">
      <c r="A560" s="56" t="s">
        <v>692</v>
      </c>
    </row>
    <row r="561" spans="1:1" ht="15.5" x14ac:dyDescent="0.35">
      <c r="A561" s="56" t="s">
        <v>693</v>
      </c>
    </row>
    <row r="562" spans="1:1" ht="15.5" x14ac:dyDescent="0.35">
      <c r="A562" s="56" t="s">
        <v>694</v>
      </c>
    </row>
    <row r="563" spans="1:1" ht="15.5" x14ac:dyDescent="0.35">
      <c r="A563" s="56" t="s">
        <v>695</v>
      </c>
    </row>
    <row r="564" spans="1:1" ht="15.5" x14ac:dyDescent="0.35">
      <c r="A564" s="56" t="s">
        <v>696</v>
      </c>
    </row>
    <row r="565" spans="1:1" ht="15.5" x14ac:dyDescent="0.35">
      <c r="A565" s="56" t="s">
        <v>697</v>
      </c>
    </row>
    <row r="566" spans="1:1" ht="15.5" x14ac:dyDescent="0.35">
      <c r="A566" s="56" t="s">
        <v>698</v>
      </c>
    </row>
    <row r="567" spans="1:1" ht="15.5" x14ac:dyDescent="0.35">
      <c r="A567" s="56" t="s">
        <v>703</v>
      </c>
    </row>
    <row r="568" spans="1:1" ht="15.5" x14ac:dyDescent="0.35">
      <c r="A568" s="57" t="s">
        <v>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J1230"/>
  <sheetViews>
    <sheetView zoomScale="110" zoomScaleNormal="110" workbookViewId="0">
      <selection activeCell="C2" sqref="C2"/>
    </sheetView>
  </sheetViews>
  <sheetFormatPr defaultColWidth="9.09765625" defaultRowHeight="15.5" x14ac:dyDescent="0.35"/>
  <cols>
    <col min="1" max="1" width="34" style="193" customWidth="1"/>
    <col min="2" max="2" width="7.69921875" style="59" customWidth="1"/>
    <col min="3" max="3" width="9.3984375" style="60" customWidth="1"/>
    <col min="4" max="16384" width="9.09765625" style="58"/>
  </cols>
  <sheetData>
    <row r="1" spans="1:4" x14ac:dyDescent="0.35">
      <c r="A1" s="193" t="s">
        <v>789</v>
      </c>
      <c r="B1" s="1" t="s">
        <v>701</v>
      </c>
      <c r="C1" s="1" t="str">
        <f>LOOKUP(Name,codes!C1:D26)</f>
        <v>xxxx</v>
      </c>
      <c r="D1" s="197" t="s">
        <v>790</v>
      </c>
    </row>
    <row r="2" spans="1:4" x14ac:dyDescent="0.35">
      <c r="A2" s="194" t="str">
        <f>PAGE1!$C$15</f>
        <v>1</v>
      </c>
    </row>
    <row r="3" spans="1:4" x14ac:dyDescent="0.35">
      <c r="A3" s="194">
        <f>PAGE1!$C$17</f>
        <v>13</v>
      </c>
    </row>
    <row r="4" spans="1:4" ht="12" customHeight="1" x14ac:dyDescent="0.35">
      <c r="A4" s="195" t="s">
        <v>791</v>
      </c>
      <c r="B4" s="93" t="s">
        <v>699</v>
      </c>
      <c r="C4" s="93" t="s">
        <v>700</v>
      </c>
    </row>
    <row r="5" spans="1:4" x14ac:dyDescent="0.35">
      <c r="A5" s="193" t="str">
        <f>$C$1&amp;".E30A.REM.PBSEC.APPR.LT450.."</f>
        <v>xxxx.E30A.REM.PBSEC.APPR.LT450..</v>
      </c>
      <c r="B5" s="88">
        <f>PAGE1!$G$27</f>
        <v>0</v>
      </c>
      <c r="C5" s="89">
        <f>PAGE1!$I$27</f>
        <v>0</v>
      </c>
    </row>
    <row r="6" spans="1:4" x14ac:dyDescent="0.35">
      <c r="A6" s="193" t="str">
        <f>$C$1&amp;".E30A.REM.PBSEC.DISB.LT450.."</f>
        <v>xxxx.E30A.REM.PBSEC.DISB.LT450..</v>
      </c>
      <c r="B6" s="88">
        <f>PAGE1!$K$27</f>
        <v>0</v>
      </c>
      <c r="C6" s="89">
        <f>PAGE1!$M$27</f>
        <v>0</v>
      </c>
    </row>
    <row r="7" spans="1:4" x14ac:dyDescent="0.35">
      <c r="A7" s="193" t="str">
        <f>$C$1&amp;".E30A.REM.PBSEC.OS.LT450.."</f>
        <v>xxxx.E30A.REM.PBSEC.OS.LT450..</v>
      </c>
      <c r="B7" s="88">
        <f>PAGE1!$O$27</f>
        <v>0</v>
      </c>
      <c r="C7" s="89">
        <f>PAGE1!$Q$27</f>
        <v>0</v>
      </c>
    </row>
    <row r="8" spans="1:4" x14ac:dyDescent="0.35">
      <c r="A8" s="193" t="str">
        <f>$C$1&amp;".E30A.REM.PBSEC.APPR.450TO750.."</f>
        <v>xxxx.E30A.REM.PBSEC.APPR.450TO750..</v>
      </c>
      <c r="B8" s="88">
        <f>PAGE1!$G$28</f>
        <v>0</v>
      </c>
      <c r="C8" s="89">
        <f>PAGE1!$I$28</f>
        <v>0</v>
      </c>
    </row>
    <row r="9" spans="1:4" x14ac:dyDescent="0.35">
      <c r="A9" s="193" t="str">
        <f>$C$1&amp;".E30A.REM.PBSEC.DISB.450TO750.."</f>
        <v>xxxx.E30A.REM.PBSEC.DISB.450TO750..</v>
      </c>
      <c r="B9" s="88">
        <f>PAGE1!$K$28</f>
        <v>0</v>
      </c>
      <c r="C9" s="89">
        <f>PAGE1!$M$28</f>
        <v>0</v>
      </c>
    </row>
    <row r="10" spans="1:4" x14ac:dyDescent="0.35">
      <c r="A10" s="193" t="str">
        <f>$C$1&amp;".E30A.REM.PBSEC.OS.450TO750.."</f>
        <v>xxxx.E30A.REM.PBSEC.OS.450TO750..</v>
      </c>
      <c r="B10" s="88">
        <f>PAGE1!$O$28</f>
        <v>0</v>
      </c>
      <c r="C10" s="89">
        <f>PAGE1!$Q$28</f>
        <v>0</v>
      </c>
    </row>
    <row r="11" spans="1:4" x14ac:dyDescent="0.35">
      <c r="A11" s="193" t="str">
        <f>$C$1&amp;".E30A.REM.PBSEC.APPR.750TO1000.."</f>
        <v>xxxx.E30A.REM.PBSEC.APPR.750TO1000..</v>
      </c>
      <c r="B11" s="88">
        <f>PAGE1!$G$29</f>
        <v>0</v>
      </c>
      <c r="C11" s="89">
        <f>PAGE1!$I$29</f>
        <v>0</v>
      </c>
    </row>
    <row r="12" spans="1:4" x14ac:dyDescent="0.35">
      <c r="A12" s="193" t="str">
        <f>$C$1&amp;".E30A.REM.PBSEC.DISB.750TO1000.."</f>
        <v>xxxx.E30A.REM.PBSEC.DISB.750TO1000..</v>
      </c>
      <c r="B12" s="88">
        <f>PAGE1!$K$29</f>
        <v>0</v>
      </c>
      <c r="C12" s="89">
        <f>PAGE1!$M$29</f>
        <v>0</v>
      </c>
    </row>
    <row r="13" spans="1:4" x14ac:dyDescent="0.35">
      <c r="A13" s="193" t="str">
        <f>$C$1&amp;".E30A.REM.PBSEC.OS.750TO1000.."</f>
        <v>xxxx.E30A.REM.PBSEC.OS.750TO1000..</v>
      </c>
      <c r="B13" s="88">
        <f>PAGE1!$O$29</f>
        <v>0</v>
      </c>
      <c r="C13" s="89">
        <f>PAGE1!$Q$29</f>
        <v>0</v>
      </c>
    </row>
    <row r="14" spans="1:4" x14ac:dyDescent="0.35">
      <c r="A14" s="193" t="str">
        <f>$C$1&amp;".E30A.REM.PBSEC.APPR.1000TO1250.."</f>
        <v>xxxx.E30A.REM.PBSEC.APPR.1000TO1250..</v>
      </c>
      <c r="B14" s="88">
        <f>PAGE1!$G$30</f>
        <v>0</v>
      </c>
      <c r="C14" s="89">
        <f>PAGE1!$I$30</f>
        <v>0</v>
      </c>
    </row>
    <row r="15" spans="1:4" x14ac:dyDescent="0.35">
      <c r="A15" s="193" t="str">
        <f>$C$1&amp;".E30A.REM.PBSEC.DISB.1000TO1250.."</f>
        <v>xxxx.E30A.REM.PBSEC.DISB.1000TO1250..</v>
      </c>
      <c r="B15" s="88">
        <f>PAGE1!$K$30</f>
        <v>0</v>
      </c>
      <c r="C15" s="89">
        <f>PAGE1!$M$30</f>
        <v>0</v>
      </c>
    </row>
    <row r="16" spans="1:4" x14ac:dyDescent="0.35">
      <c r="A16" s="193" t="str">
        <f>$C$1&amp;".E30A.REM.PBSEC.OS.1000TO1250.."</f>
        <v>xxxx.E30A.REM.PBSEC.OS.1000TO1250..</v>
      </c>
      <c r="B16" s="88">
        <f>PAGE1!$O$30</f>
        <v>0</v>
      </c>
      <c r="C16" s="89">
        <f>PAGE1!$Q$30</f>
        <v>0</v>
      </c>
    </row>
    <row r="17" spans="1:3" x14ac:dyDescent="0.35">
      <c r="A17" s="193" t="str">
        <f>$C$1&amp;".E30A.REM.PBSEC.APPR.1250TO1500.."</f>
        <v>xxxx.E30A.REM.PBSEC.APPR.1250TO1500..</v>
      </c>
      <c r="B17" s="88">
        <f>PAGE1!$G$31</f>
        <v>0</v>
      </c>
      <c r="C17" s="89">
        <f>PAGE1!$I$31</f>
        <v>0</v>
      </c>
    </row>
    <row r="18" spans="1:3" x14ac:dyDescent="0.35">
      <c r="A18" s="193" t="str">
        <f>$C$1&amp;".E30A.REM.PBSEC.DISB.1250TO1500.."</f>
        <v>xxxx.E30A.REM.PBSEC.DISB.1250TO1500..</v>
      </c>
      <c r="B18" s="88">
        <f>PAGE1!$K$31</f>
        <v>0</v>
      </c>
      <c r="C18" s="89">
        <f>PAGE1!$M$31</f>
        <v>0</v>
      </c>
    </row>
    <row r="19" spans="1:3" x14ac:dyDescent="0.35">
      <c r="A19" s="193" t="str">
        <f>$C$1&amp;".E30A.REM.PBSEC.OS.1250TO1500.."</f>
        <v>xxxx.E30A.REM.PBSEC.OS.1250TO1500..</v>
      </c>
      <c r="B19" s="88">
        <f>PAGE1!$O$31</f>
        <v>0</v>
      </c>
      <c r="C19" s="89">
        <f>PAGE1!$Q$31</f>
        <v>0</v>
      </c>
    </row>
    <row r="20" spans="1:3" x14ac:dyDescent="0.35">
      <c r="A20" s="193" t="str">
        <f>$C$1&amp;".E30A.REM.PBSEC.APPR.1500TO1750.."</f>
        <v>xxxx.E30A.REM.PBSEC.APPR.1500TO1750..</v>
      </c>
      <c r="B20" s="88">
        <f>PAGE1!$G$32</f>
        <v>0</v>
      </c>
      <c r="C20" s="89">
        <f>PAGE1!$I$32</f>
        <v>0</v>
      </c>
    </row>
    <row r="21" spans="1:3" x14ac:dyDescent="0.35">
      <c r="A21" s="193" t="str">
        <f>$C$1&amp;".E30A.REM.PBSEC.DISB.1500TO1750.."</f>
        <v>xxxx.E30A.REM.PBSEC.DISB.1500TO1750..</v>
      </c>
      <c r="B21" s="88">
        <f>PAGE1!$K$32</f>
        <v>0</v>
      </c>
      <c r="C21" s="89">
        <f>PAGE1!$M$32</f>
        <v>0</v>
      </c>
    </row>
    <row r="22" spans="1:3" x14ac:dyDescent="0.35">
      <c r="A22" s="193" t="str">
        <f>$C$1&amp;".E30A.REM.PBSEC.OS.1500TO1750.."</f>
        <v>xxxx.E30A.REM.PBSEC.OS.1500TO1750..</v>
      </c>
      <c r="B22" s="88">
        <f>PAGE1!$O$32</f>
        <v>0</v>
      </c>
      <c r="C22" s="89">
        <f>PAGE1!$Q$32</f>
        <v>0</v>
      </c>
    </row>
    <row r="23" spans="1:3" x14ac:dyDescent="0.35">
      <c r="A23" s="193" t="str">
        <f>$C$1&amp;".E30A.REM.PBSEC.APPR.1750TO2000.."</f>
        <v>xxxx.E30A.REM.PBSEC.APPR.1750TO2000..</v>
      </c>
      <c r="B23" s="88">
        <f>PAGE1!$G$33</f>
        <v>0</v>
      </c>
      <c r="C23" s="89">
        <f>PAGE1!$I$33</f>
        <v>0</v>
      </c>
    </row>
    <row r="24" spans="1:3" x14ac:dyDescent="0.35">
      <c r="A24" s="193" t="str">
        <f>$C$1&amp;".E30A.REM.PBSEC.DISB.1750TO2000.."</f>
        <v>xxxx.E30A.REM.PBSEC.DISB.1750TO2000..</v>
      </c>
      <c r="B24" s="88">
        <f>PAGE1!$K$33</f>
        <v>0</v>
      </c>
      <c r="C24" s="89">
        <f>PAGE1!$M$33</f>
        <v>0</v>
      </c>
    </row>
    <row r="25" spans="1:3" x14ac:dyDescent="0.35">
      <c r="A25" s="193" t="str">
        <f>$C$1&amp;".E30A.REM.PBSEC.OS.1750TO2000.."</f>
        <v>xxxx.E30A.REM.PBSEC.OS.1750TO2000..</v>
      </c>
      <c r="B25" s="88">
        <f>PAGE1!$O$33</f>
        <v>0</v>
      </c>
      <c r="C25" s="89">
        <f>PAGE1!$Q$33</f>
        <v>0</v>
      </c>
    </row>
    <row r="26" spans="1:3" x14ac:dyDescent="0.35">
      <c r="A26" s="193" t="str">
        <f>$C$1&amp;".E30A.REM.PBSEC.APPR.2000TO2250.."</f>
        <v>xxxx.E30A.REM.PBSEC.APPR.2000TO2250..</v>
      </c>
      <c r="B26" s="88">
        <f>PAGE1!$G$34</f>
        <v>0</v>
      </c>
      <c r="C26" s="89">
        <f>PAGE1!$I$34</f>
        <v>0</v>
      </c>
    </row>
    <row r="27" spans="1:3" x14ac:dyDescent="0.35">
      <c r="A27" s="193" t="str">
        <f>$C$1&amp;".E30A.REM.PBSEC.DISB.2000TO2250.."</f>
        <v>xxxx.E30A.REM.PBSEC.DISB.2000TO2250..</v>
      </c>
      <c r="B27" s="88">
        <f>PAGE1!$K$34</f>
        <v>0</v>
      </c>
      <c r="C27" s="89">
        <f>PAGE1!$M$34</f>
        <v>0</v>
      </c>
    </row>
    <row r="28" spans="1:3" x14ac:dyDescent="0.35">
      <c r="A28" s="193" t="str">
        <f>$C$1&amp;".E30A.REM.PBSEC.OS.2000TO2250.."</f>
        <v>xxxx.E30A.REM.PBSEC.OS.2000TO2250..</v>
      </c>
      <c r="B28" s="88">
        <f>PAGE1!$O$34</f>
        <v>0</v>
      </c>
      <c r="C28" s="89">
        <f>PAGE1!$Q$34</f>
        <v>0</v>
      </c>
    </row>
    <row r="29" spans="1:3" x14ac:dyDescent="0.35">
      <c r="A29" s="193" t="str">
        <f>$C$1&amp;".E30A.REM.PBSEC.APPR.2250TO2500.."</f>
        <v>xxxx.E30A.REM.PBSEC.APPR.2250TO2500..</v>
      </c>
      <c r="B29" s="88">
        <f>PAGE1!$G$35</f>
        <v>0</v>
      </c>
      <c r="C29" s="89">
        <f>PAGE1!$I$35</f>
        <v>0</v>
      </c>
    </row>
    <row r="30" spans="1:3" x14ac:dyDescent="0.35">
      <c r="A30" s="193" t="str">
        <f>$C$1&amp;".E30A.REM.PBSEC.DISB.2250TO2500.."</f>
        <v>xxxx.E30A.REM.PBSEC.DISB.2250TO2500..</v>
      </c>
      <c r="B30" s="88">
        <f>PAGE1!$K$35</f>
        <v>0</v>
      </c>
      <c r="C30" s="89">
        <f>PAGE1!$M$35</f>
        <v>0</v>
      </c>
    </row>
    <row r="31" spans="1:3" x14ac:dyDescent="0.35">
      <c r="A31" s="193" t="str">
        <f>$C$1&amp;".E30A.REM.PBSEC.OS.2250TO2500.."</f>
        <v>xxxx.E30A.REM.PBSEC.OS.2250TO2500..</v>
      </c>
      <c r="B31" s="88">
        <f>PAGE1!$O$35</f>
        <v>0</v>
      </c>
      <c r="C31" s="89">
        <f>PAGE1!$Q$35</f>
        <v>0</v>
      </c>
    </row>
    <row r="32" spans="1:3" x14ac:dyDescent="0.35">
      <c r="A32" s="193" t="str">
        <f>$C$1&amp;".E30A.REM.PBSEC.APPR.2500TO2750.."</f>
        <v>xxxx.E30A.REM.PBSEC.APPR.2500TO2750..</v>
      </c>
      <c r="B32" s="88">
        <f>PAGE1!$G$36</f>
        <v>0</v>
      </c>
      <c r="C32" s="89">
        <f>PAGE1!$I$36</f>
        <v>0</v>
      </c>
    </row>
    <row r="33" spans="1:3" x14ac:dyDescent="0.35">
      <c r="A33" s="193" t="str">
        <f>$C$1&amp;".E30A.REM.PBSEC.DISB.2500TO2750.."</f>
        <v>xxxx.E30A.REM.PBSEC.DISB.2500TO2750..</v>
      </c>
      <c r="B33" s="88">
        <f>PAGE1!$K$36</f>
        <v>0</v>
      </c>
      <c r="C33" s="89">
        <f>PAGE1!$M$36</f>
        <v>0</v>
      </c>
    </row>
    <row r="34" spans="1:3" x14ac:dyDescent="0.35">
      <c r="A34" s="193" t="str">
        <f>$C$1&amp;".E30A.REM.PBSEC.OS.2500TO2750.."</f>
        <v>xxxx.E30A.REM.PBSEC.OS.2500TO2750..</v>
      </c>
      <c r="B34" s="88">
        <f>PAGE1!$O$36</f>
        <v>0</v>
      </c>
      <c r="C34" s="89">
        <f>PAGE1!$Q$36</f>
        <v>0</v>
      </c>
    </row>
    <row r="35" spans="1:3" x14ac:dyDescent="0.35">
      <c r="A35" s="193" t="str">
        <f>$C$1&amp;".E30A.REM.PBSEC.APPR.2750TO3000.."</f>
        <v>xxxx.E30A.REM.PBSEC.APPR.2750TO3000..</v>
      </c>
      <c r="B35" s="88">
        <f>PAGE1!$G$37</f>
        <v>0</v>
      </c>
      <c r="C35" s="89">
        <f>PAGE1!$I$37</f>
        <v>0</v>
      </c>
    </row>
    <row r="36" spans="1:3" x14ac:dyDescent="0.35">
      <c r="A36" s="193" t="str">
        <f>$C$1&amp;".E30A.REM.PBSEC.DISB.2750TO3000.."</f>
        <v>xxxx.E30A.REM.PBSEC.DISB.2750TO3000..</v>
      </c>
      <c r="B36" s="88">
        <f>PAGE1!$K$37</f>
        <v>0</v>
      </c>
      <c r="C36" s="89">
        <f>PAGE1!$M$37</f>
        <v>0</v>
      </c>
    </row>
    <row r="37" spans="1:3" x14ac:dyDescent="0.35">
      <c r="A37" s="193" t="str">
        <f>$C$1&amp;".E30A.REM.PBSEC.OS.2750TO3000.."</f>
        <v>xxxx.E30A.REM.PBSEC.OS.2750TO3000..</v>
      </c>
      <c r="B37" s="88">
        <f>PAGE1!$O$37</f>
        <v>0</v>
      </c>
      <c r="C37" s="89">
        <f>PAGE1!$Q$37</f>
        <v>0</v>
      </c>
    </row>
    <row r="38" spans="1:3" x14ac:dyDescent="0.35">
      <c r="A38" s="193" t="str">
        <f>$C$1&amp;".E30A.REM.PBSEC.APPR.OVR3000.."</f>
        <v>xxxx.E30A.REM.PBSEC.APPR.OVR3000..</v>
      </c>
      <c r="B38" s="88">
        <f>PAGE1!$G$38</f>
        <v>0</v>
      </c>
      <c r="C38" s="89">
        <f>PAGE1!$I$38</f>
        <v>0</v>
      </c>
    </row>
    <row r="39" spans="1:3" x14ac:dyDescent="0.35">
      <c r="A39" s="193" t="str">
        <f>$C$1&amp;".E30A.REM.PBSEC.DISB.OVR3000.."</f>
        <v>xxxx.E30A.REM.PBSEC.DISB.OVR3000..</v>
      </c>
      <c r="B39" s="88">
        <f>PAGE1!$K$38</f>
        <v>0</v>
      </c>
      <c r="C39" s="89">
        <f>PAGE1!$M$38</f>
        <v>0</v>
      </c>
    </row>
    <row r="40" spans="1:3" x14ac:dyDescent="0.35">
      <c r="A40" s="193" t="str">
        <f>$C$1&amp;".E30A.REM.PBSEC.OS.OVR3000.."</f>
        <v>xxxx.E30A.REM.PBSEC.OS.OVR3000..</v>
      </c>
      <c r="B40" s="88">
        <f>PAGE1!$O$38</f>
        <v>0</v>
      </c>
      <c r="C40" s="89">
        <f>PAGE1!$Q$38</f>
        <v>0</v>
      </c>
    </row>
    <row r="41" spans="1:3" x14ac:dyDescent="0.35">
      <c r="A41" s="196" t="str">
        <f>$C$1&amp;".E30A.REM.PBSEC.APPR.TTL.."</f>
        <v>xxxx.E30A.REM.PBSEC.APPR.TTL..</v>
      </c>
      <c r="B41" s="88">
        <f>PAGE1!$G$26</f>
        <v>0</v>
      </c>
      <c r="C41" s="89">
        <f>PAGE1!$I$26</f>
        <v>0</v>
      </c>
    </row>
    <row r="42" spans="1:3" x14ac:dyDescent="0.35">
      <c r="A42" s="196" t="str">
        <f>$C$1&amp;".E30A.REM.PBSEC.DISB.TTL.."</f>
        <v>xxxx.E30A.REM.PBSEC.DISB.TTL..</v>
      </c>
      <c r="B42" s="88">
        <f>PAGE1!$K$26</f>
        <v>0</v>
      </c>
      <c r="C42" s="89">
        <f>PAGE1!$M$26</f>
        <v>0</v>
      </c>
    </row>
    <row r="43" spans="1:3" x14ac:dyDescent="0.35">
      <c r="A43" s="196" t="str">
        <f>$C$1&amp;".E30A.REM.PBSEC.OS.TTL.."</f>
        <v>xxxx.E30A.REM.PBSEC.OS.TTL..</v>
      </c>
      <c r="B43" s="88">
        <f>PAGE1!$O$26</f>
        <v>0</v>
      </c>
      <c r="C43" s="89">
        <f>PAGE1!$Q$26</f>
        <v>0</v>
      </c>
    </row>
    <row r="44" spans="1:3" x14ac:dyDescent="0.35">
      <c r="A44" s="193" t="str">
        <f>$C$1&amp;".E30A.REM.PVFIN.APPR.LT450.."</f>
        <v>xxxx.E30A.REM.PVFIN.APPR.LT450..</v>
      </c>
      <c r="B44" s="88">
        <f>PAGE1!$G$42</f>
        <v>0</v>
      </c>
      <c r="C44" s="89">
        <f>PAGE1!$I$42</f>
        <v>0</v>
      </c>
    </row>
    <row r="45" spans="1:3" x14ac:dyDescent="0.35">
      <c r="A45" s="193" t="str">
        <f>$C$1&amp;".E30A.REM.PVFIN.DISB.LT450.."</f>
        <v>xxxx.E30A.REM.PVFIN.DISB.LT450..</v>
      </c>
      <c r="B45" s="88">
        <f>PAGE1!$K$42</f>
        <v>0</v>
      </c>
      <c r="C45" s="89">
        <f>PAGE1!$M$42</f>
        <v>0</v>
      </c>
    </row>
    <row r="46" spans="1:3" x14ac:dyDescent="0.35">
      <c r="A46" s="193" t="str">
        <f>$C$1&amp;".E30A.REM.PVFIN.OS.LT450.."</f>
        <v>xxxx.E30A.REM.PVFIN.OS.LT450..</v>
      </c>
      <c r="B46" s="88">
        <f>PAGE1!$O$42</f>
        <v>0</v>
      </c>
      <c r="C46" s="89">
        <f>PAGE1!$Q$42</f>
        <v>0</v>
      </c>
    </row>
    <row r="47" spans="1:3" x14ac:dyDescent="0.35">
      <c r="A47" s="193" t="str">
        <f>$C$1&amp;".E30A.REM.PVFIN.APPR.450TO750.."</f>
        <v>xxxx.E30A.REM.PVFIN.APPR.450TO750..</v>
      </c>
      <c r="B47" s="88">
        <f>PAGE1!$G$43</f>
        <v>0</v>
      </c>
      <c r="C47" s="89">
        <f>PAGE1!$I$43</f>
        <v>0</v>
      </c>
    </row>
    <row r="48" spans="1:3" x14ac:dyDescent="0.35">
      <c r="A48" s="193" t="str">
        <f>$C$1&amp;".E30A.REM.PVFIN.DISB.450TO750.."</f>
        <v>xxxx.E30A.REM.PVFIN.DISB.450TO750..</v>
      </c>
      <c r="B48" s="88">
        <f>PAGE1!$K$43</f>
        <v>0</v>
      </c>
      <c r="C48" s="89">
        <f>PAGE1!$M$43</f>
        <v>0</v>
      </c>
    </row>
    <row r="49" spans="1:3" x14ac:dyDescent="0.35">
      <c r="A49" s="193" t="str">
        <f>$C$1&amp;".E30A.REM.PVFIN.OS.450TO750.."</f>
        <v>xxxx.E30A.REM.PVFIN.OS.450TO750..</v>
      </c>
      <c r="B49" s="88">
        <f>PAGE1!$O$43</f>
        <v>0</v>
      </c>
      <c r="C49" s="89">
        <f>PAGE1!$Q$43</f>
        <v>0</v>
      </c>
    </row>
    <row r="50" spans="1:3" x14ac:dyDescent="0.35">
      <c r="A50" s="193" t="str">
        <f>$C$1&amp;".E30A.REM.PVFIN.APPR.750TO1000.."</f>
        <v>xxxx.E30A.REM.PVFIN.APPR.750TO1000..</v>
      </c>
      <c r="B50" s="88">
        <f>PAGE1!$G$44</f>
        <v>0</v>
      </c>
      <c r="C50" s="89">
        <f>PAGE1!$I$44</f>
        <v>0</v>
      </c>
    </row>
    <row r="51" spans="1:3" x14ac:dyDescent="0.35">
      <c r="A51" s="193" t="str">
        <f>$C$1&amp;".E30A.REM.PVFIN.DISB.750TO1000.."</f>
        <v>xxxx.E30A.REM.PVFIN.DISB.750TO1000..</v>
      </c>
      <c r="B51" s="88">
        <f>PAGE1!$K$44</f>
        <v>0</v>
      </c>
      <c r="C51" s="89">
        <f>PAGE1!$M$44</f>
        <v>0</v>
      </c>
    </row>
    <row r="52" spans="1:3" x14ac:dyDescent="0.35">
      <c r="A52" s="193" t="str">
        <f>$C$1&amp;".E30A.REM.PVFIN.OS.750TO1000.."</f>
        <v>xxxx.E30A.REM.PVFIN.OS.750TO1000..</v>
      </c>
      <c r="B52" s="88">
        <f>PAGE1!$O$44</f>
        <v>0</v>
      </c>
      <c r="C52" s="89">
        <f>PAGE1!$Q$44</f>
        <v>0</v>
      </c>
    </row>
    <row r="53" spans="1:3" x14ac:dyDescent="0.35">
      <c r="A53" s="193" t="str">
        <f>$C$1&amp;".E30A.REM.PVFIN.APPR.1000TO1250.."</f>
        <v>xxxx.E30A.REM.PVFIN.APPR.1000TO1250..</v>
      </c>
      <c r="B53" s="88">
        <f>PAGE1!$G$45</f>
        <v>0</v>
      </c>
      <c r="C53" s="89">
        <f>PAGE1!$I$45</f>
        <v>0</v>
      </c>
    </row>
    <row r="54" spans="1:3" x14ac:dyDescent="0.35">
      <c r="A54" s="193" t="str">
        <f>$C$1&amp;".E30A.REM.PVFIN.DISB.1000TO1250.."</f>
        <v>xxxx.E30A.REM.PVFIN.DISB.1000TO1250..</v>
      </c>
      <c r="B54" s="88">
        <f>PAGE1!$K$45</f>
        <v>0</v>
      </c>
      <c r="C54" s="89">
        <f>PAGE1!$M$45</f>
        <v>0</v>
      </c>
    </row>
    <row r="55" spans="1:3" x14ac:dyDescent="0.35">
      <c r="A55" s="193" t="str">
        <f>$C$1&amp;".E30A.REM.PVFIN.OS.1000TO1250.."</f>
        <v>xxxx.E30A.REM.PVFIN.OS.1000TO1250..</v>
      </c>
      <c r="B55" s="88">
        <f>PAGE1!$O$45</f>
        <v>0</v>
      </c>
      <c r="C55" s="89">
        <f>PAGE1!$Q$45</f>
        <v>0</v>
      </c>
    </row>
    <row r="56" spans="1:3" x14ac:dyDescent="0.35">
      <c r="A56" s="193" t="str">
        <f>$C$1&amp;".E30A.REM.PVFIN.APPR.1250TO1500.."</f>
        <v>xxxx.E30A.REM.PVFIN.APPR.1250TO1500..</v>
      </c>
      <c r="B56" s="88">
        <f>PAGE1!$G$46</f>
        <v>0</v>
      </c>
      <c r="C56" s="89">
        <f>PAGE1!$I$46</f>
        <v>0</v>
      </c>
    </row>
    <row r="57" spans="1:3" x14ac:dyDescent="0.35">
      <c r="A57" s="193" t="str">
        <f>$C$1&amp;".E30A.REM.PVFIN.DISB.1250TO1500.."</f>
        <v>xxxx.E30A.REM.PVFIN.DISB.1250TO1500..</v>
      </c>
      <c r="B57" s="88">
        <f>PAGE1!$K$46</f>
        <v>0</v>
      </c>
      <c r="C57" s="89">
        <f>PAGE1!$M$46</f>
        <v>0</v>
      </c>
    </row>
    <row r="58" spans="1:3" x14ac:dyDescent="0.35">
      <c r="A58" s="193" t="str">
        <f>$C$1&amp;".E30A.REM.PVFIN.OS.1250TO1500.."</f>
        <v>xxxx.E30A.REM.PVFIN.OS.1250TO1500..</v>
      </c>
      <c r="B58" s="88">
        <f>PAGE1!$O$46</f>
        <v>0</v>
      </c>
      <c r="C58" s="89">
        <f>PAGE1!$Q$46</f>
        <v>0</v>
      </c>
    </row>
    <row r="59" spans="1:3" x14ac:dyDescent="0.35">
      <c r="A59" s="193" t="str">
        <f>$C$1&amp;".E30A.REM.PVFIN.APPR.1500TO1750.."</f>
        <v>xxxx.E30A.REM.PVFIN.APPR.1500TO1750..</v>
      </c>
      <c r="B59" s="88">
        <f>PAGE1!$G$47</f>
        <v>0</v>
      </c>
      <c r="C59" s="89">
        <f>PAGE1!$I$47</f>
        <v>0</v>
      </c>
    </row>
    <row r="60" spans="1:3" x14ac:dyDescent="0.35">
      <c r="A60" s="193" t="str">
        <f>$C$1&amp;".E30A.REM.PVFIN.DISB.1500TO1750.."</f>
        <v>xxxx.E30A.REM.PVFIN.DISB.1500TO1750..</v>
      </c>
      <c r="B60" s="88">
        <f>PAGE1!$K$47</f>
        <v>0</v>
      </c>
      <c r="C60" s="89">
        <f>PAGE1!$M$47</f>
        <v>0</v>
      </c>
    </row>
    <row r="61" spans="1:3" x14ac:dyDescent="0.35">
      <c r="A61" s="193" t="str">
        <f>$C$1&amp;".E30A.REM.PVFIN.OS.1500TO1750.."</f>
        <v>xxxx.E30A.REM.PVFIN.OS.1500TO1750..</v>
      </c>
      <c r="B61" s="88">
        <f>PAGE1!$O$47</f>
        <v>0</v>
      </c>
      <c r="C61" s="89">
        <f>PAGE1!$Q$47</f>
        <v>0</v>
      </c>
    </row>
    <row r="62" spans="1:3" x14ac:dyDescent="0.35">
      <c r="A62" s="193" t="str">
        <f>$C$1&amp;".E30A.REM.PVFIN.APPR.1750TO2000.."</f>
        <v>xxxx.E30A.REM.PVFIN.APPR.1750TO2000..</v>
      </c>
      <c r="B62" s="88">
        <f>PAGE1!$G$48</f>
        <v>0</v>
      </c>
      <c r="C62" s="89">
        <f>PAGE1!$I$48</f>
        <v>0</v>
      </c>
    </row>
    <row r="63" spans="1:3" x14ac:dyDescent="0.35">
      <c r="A63" s="193" t="str">
        <f>$C$1&amp;".E30A.REM.PVFIN.DISB.1750TO2000.."</f>
        <v>xxxx.E30A.REM.PVFIN.DISB.1750TO2000..</v>
      </c>
      <c r="B63" s="88">
        <f>PAGE1!$K$48</f>
        <v>0</v>
      </c>
      <c r="C63" s="89">
        <f>PAGE1!$M$48</f>
        <v>0</v>
      </c>
    </row>
    <row r="64" spans="1:3" x14ac:dyDescent="0.35">
      <c r="A64" s="193" t="str">
        <f>$C$1&amp;".E30A.REM.PVFIN.OS.1750TO2000.."</f>
        <v>xxxx.E30A.REM.PVFIN.OS.1750TO2000..</v>
      </c>
      <c r="B64" s="88">
        <f>PAGE1!$O$48</f>
        <v>0</v>
      </c>
      <c r="C64" s="89">
        <f>PAGE1!$Q$48</f>
        <v>0</v>
      </c>
    </row>
    <row r="65" spans="1:3" x14ac:dyDescent="0.35">
      <c r="A65" s="193" t="str">
        <f>$C$1&amp;".E30A.REM.PVFIN.APPR.2000TO2250.."</f>
        <v>xxxx.E30A.REM.PVFIN.APPR.2000TO2250..</v>
      </c>
      <c r="B65" s="88">
        <f>PAGE1!$G$49</f>
        <v>0</v>
      </c>
      <c r="C65" s="89">
        <f>PAGE1!$I$49</f>
        <v>0</v>
      </c>
    </row>
    <row r="66" spans="1:3" x14ac:dyDescent="0.35">
      <c r="A66" s="193" t="str">
        <f>$C$1&amp;".E30A.REM.PVFIN.DISB.2000TO2250.."</f>
        <v>xxxx.E30A.REM.PVFIN.DISB.2000TO2250..</v>
      </c>
      <c r="B66" s="88">
        <f>PAGE1!$K$49</f>
        <v>0</v>
      </c>
      <c r="C66" s="89">
        <f>PAGE1!$M$49</f>
        <v>0</v>
      </c>
    </row>
    <row r="67" spans="1:3" x14ac:dyDescent="0.35">
      <c r="A67" s="193" t="str">
        <f>$C$1&amp;".E30A.REM.PVFIN.OS.2000TO2250.."</f>
        <v>xxxx.E30A.REM.PVFIN.OS.2000TO2250..</v>
      </c>
      <c r="B67" s="88">
        <f>PAGE1!$O$49</f>
        <v>0</v>
      </c>
      <c r="C67" s="89">
        <f>PAGE1!$Q$49</f>
        <v>0</v>
      </c>
    </row>
    <row r="68" spans="1:3" x14ac:dyDescent="0.35">
      <c r="A68" s="193" t="str">
        <f>$C$1&amp;".E30A.REM.PVFIN.APPR.2250TO2500.."</f>
        <v>xxxx.E30A.REM.PVFIN.APPR.2250TO2500..</v>
      </c>
      <c r="B68" s="88">
        <f>PAGE1!$G$50</f>
        <v>0</v>
      </c>
      <c r="C68" s="89">
        <f>PAGE1!$I$50</f>
        <v>0</v>
      </c>
    </row>
    <row r="69" spans="1:3" x14ac:dyDescent="0.35">
      <c r="A69" s="193" t="str">
        <f>$C$1&amp;".E30A.REM.PVFIN.DISB.2250TO2500.."</f>
        <v>xxxx.E30A.REM.PVFIN.DISB.2250TO2500..</v>
      </c>
      <c r="B69" s="88">
        <f>PAGE1!$K$50</f>
        <v>0</v>
      </c>
      <c r="C69" s="89">
        <f>PAGE1!$M$50</f>
        <v>0</v>
      </c>
    </row>
    <row r="70" spans="1:3" x14ac:dyDescent="0.35">
      <c r="A70" s="193" t="str">
        <f>$C$1&amp;".E30A.REM.PVFIN.OS.2250TO2500.."</f>
        <v>xxxx.E30A.REM.PVFIN.OS.2250TO2500..</v>
      </c>
      <c r="B70" s="88">
        <f>PAGE1!$O$50</f>
        <v>0</v>
      </c>
      <c r="C70" s="89">
        <f>PAGE1!$Q$50</f>
        <v>0</v>
      </c>
    </row>
    <row r="71" spans="1:3" x14ac:dyDescent="0.35">
      <c r="A71" s="193" t="str">
        <f>$C$1&amp;".E30A.REM.PVFIN.APPR.2500TO2750.."</f>
        <v>xxxx.E30A.REM.PVFIN.APPR.2500TO2750..</v>
      </c>
      <c r="B71" s="88">
        <f>PAGE1!$G$51</f>
        <v>0</v>
      </c>
      <c r="C71" s="89">
        <f>PAGE1!$I$51</f>
        <v>0</v>
      </c>
    </row>
    <row r="72" spans="1:3" x14ac:dyDescent="0.35">
      <c r="A72" s="193" t="str">
        <f>$C$1&amp;".E30A.REM.PVFIN.DISB.2500TO2750.."</f>
        <v>xxxx.E30A.REM.PVFIN.DISB.2500TO2750..</v>
      </c>
      <c r="B72" s="88">
        <f>PAGE1!$K$51</f>
        <v>0</v>
      </c>
      <c r="C72" s="89">
        <f>PAGE1!$M$51</f>
        <v>0</v>
      </c>
    </row>
    <row r="73" spans="1:3" x14ac:dyDescent="0.35">
      <c r="A73" s="193" t="str">
        <f>$C$1&amp;".E30A.REM.PVFIN.OS.2500TO2750.."</f>
        <v>xxxx.E30A.REM.PVFIN.OS.2500TO2750..</v>
      </c>
      <c r="B73" s="88">
        <f>PAGE1!$O$51</f>
        <v>0</v>
      </c>
      <c r="C73" s="89">
        <f>PAGE1!$Q$51</f>
        <v>0</v>
      </c>
    </row>
    <row r="74" spans="1:3" x14ac:dyDescent="0.35">
      <c r="A74" s="193" t="str">
        <f>$C$1&amp;".E30A.REM.PVFIN.APPR.2750TO3000.."</f>
        <v>xxxx.E30A.REM.PVFIN.APPR.2750TO3000..</v>
      </c>
      <c r="B74" s="88">
        <f>PAGE1!$G$52</f>
        <v>0</v>
      </c>
      <c r="C74" s="89">
        <f>PAGE1!$I$52</f>
        <v>0</v>
      </c>
    </row>
    <row r="75" spans="1:3" x14ac:dyDescent="0.35">
      <c r="A75" s="193" t="str">
        <f>$C$1&amp;".E30A.REM.PVFIN.DISB.2750TO3000.."</f>
        <v>xxxx.E30A.REM.PVFIN.DISB.2750TO3000..</v>
      </c>
      <c r="B75" s="88">
        <f>PAGE1!$K$52</f>
        <v>0</v>
      </c>
      <c r="C75" s="89">
        <f>PAGE1!$M$52</f>
        <v>0</v>
      </c>
    </row>
    <row r="76" spans="1:3" x14ac:dyDescent="0.35">
      <c r="A76" s="193" t="str">
        <f>$C$1&amp;".E30A.REM.PVFIN.OS.2750TO3000.."</f>
        <v>xxxx.E30A.REM.PVFIN.OS.2750TO3000..</v>
      </c>
      <c r="B76" s="88">
        <f>PAGE1!$O$52</f>
        <v>0</v>
      </c>
      <c r="C76" s="89">
        <f>PAGE1!$Q$52</f>
        <v>0</v>
      </c>
    </row>
    <row r="77" spans="1:3" x14ac:dyDescent="0.35">
      <c r="A77" s="193" t="str">
        <f>$C$1&amp;".E30A.REM.PVFIN.APPR.OVR3000.."</f>
        <v>xxxx.E30A.REM.PVFIN.APPR.OVR3000..</v>
      </c>
      <c r="B77" s="88">
        <f>PAGE1!$G$53</f>
        <v>0</v>
      </c>
      <c r="C77" s="89">
        <f>PAGE1!$I$53</f>
        <v>0</v>
      </c>
    </row>
    <row r="78" spans="1:3" x14ac:dyDescent="0.35">
      <c r="A78" s="193" t="str">
        <f>$C$1&amp;".E30A.REM.PVFIN.DISB.OVR3000.."</f>
        <v>xxxx.E30A.REM.PVFIN.DISB.OVR3000..</v>
      </c>
      <c r="B78" s="88">
        <f>PAGE1!$K$53</f>
        <v>0</v>
      </c>
      <c r="C78" s="89">
        <f>PAGE1!$M$53</f>
        <v>0</v>
      </c>
    </row>
    <row r="79" spans="1:3" x14ac:dyDescent="0.35">
      <c r="A79" s="193" t="str">
        <f>$C$1&amp;".E30A.REM.PVFIN.OS.OVR3000.."</f>
        <v>xxxx.E30A.REM.PVFIN.OS.OVR3000..</v>
      </c>
      <c r="B79" s="88">
        <f>PAGE1!$O$53</f>
        <v>0</v>
      </c>
      <c r="C79" s="89">
        <f>PAGE1!$Q$53</f>
        <v>0</v>
      </c>
    </row>
    <row r="80" spans="1:3" x14ac:dyDescent="0.35">
      <c r="A80" s="196" t="str">
        <f>$C$1&amp;".E30A.REM.PVFIN.APPR.TTL.."</f>
        <v>xxxx.E30A.REM.PVFIN.APPR.TTL..</v>
      </c>
      <c r="B80" s="88">
        <f>PAGE1!$G$41</f>
        <v>0</v>
      </c>
      <c r="C80" s="89">
        <f>PAGE1!$I$41</f>
        <v>0</v>
      </c>
    </row>
    <row r="81" spans="1:3" x14ac:dyDescent="0.35">
      <c r="A81" s="196" t="str">
        <f>$C$1&amp;".E30A.REM.PVFIN.DISB.TTL.."</f>
        <v>xxxx.E30A.REM.PVFIN.DISB.TTL..</v>
      </c>
      <c r="B81" s="88">
        <f>PAGE1!$K$41</f>
        <v>0</v>
      </c>
      <c r="C81" s="89">
        <f>PAGE1!$M$41</f>
        <v>0</v>
      </c>
    </row>
    <row r="82" spans="1:3" x14ac:dyDescent="0.35">
      <c r="A82" s="196" t="str">
        <f>$C$1&amp;".E30A.REM.PVFIN.OS.TTL.."</f>
        <v>xxxx.E30A.REM.PVFIN.OS.TTL..</v>
      </c>
      <c r="B82" s="88">
        <f>PAGE1!$O$41</f>
        <v>0</v>
      </c>
      <c r="C82" s="89">
        <f>PAGE1!$Q$41</f>
        <v>0</v>
      </c>
    </row>
    <row r="83" spans="1:3" x14ac:dyDescent="0.35">
      <c r="A83" s="193" t="str">
        <f>$C$1&amp;".E30A.REM.IBUS.APPR.LT450.."</f>
        <v>xxxx.E30A.REM.IBUS.APPR.LT450..</v>
      </c>
      <c r="B83" s="88">
        <f>PAGE1!$G$57</f>
        <v>0</v>
      </c>
      <c r="C83" s="89">
        <f>PAGE1!$I$57</f>
        <v>0</v>
      </c>
    </row>
    <row r="84" spans="1:3" x14ac:dyDescent="0.35">
      <c r="A84" s="193" t="str">
        <f>$C$1&amp;".E30A.REM.IBUS.DISB.LT450.."</f>
        <v>xxxx.E30A.REM.IBUS.DISB.LT450..</v>
      </c>
      <c r="B84" s="88">
        <f>PAGE1!$K$57</f>
        <v>0</v>
      </c>
      <c r="C84" s="89">
        <f>PAGE1!$M$57</f>
        <v>0</v>
      </c>
    </row>
    <row r="85" spans="1:3" x14ac:dyDescent="0.35">
      <c r="A85" s="193" t="str">
        <f>$C$1&amp;".E30A.REM.IBUS.OS.LT450.."</f>
        <v>xxxx.E30A.REM.IBUS.OS.LT450..</v>
      </c>
      <c r="B85" s="88">
        <f>PAGE1!$O$57</f>
        <v>0</v>
      </c>
      <c r="C85" s="89">
        <f>PAGE1!$Q$57</f>
        <v>0</v>
      </c>
    </row>
    <row r="86" spans="1:3" x14ac:dyDescent="0.35">
      <c r="A86" s="193" t="str">
        <f>$C$1&amp;".E30A.REM.IBUS.APPR.450TO750.."</f>
        <v>xxxx.E30A.REM.IBUS.APPR.450TO750..</v>
      </c>
      <c r="B86" s="88">
        <f>PAGE1!$G$58</f>
        <v>0</v>
      </c>
      <c r="C86" s="89">
        <f>PAGE1!$I$58</f>
        <v>0</v>
      </c>
    </row>
    <row r="87" spans="1:3" x14ac:dyDescent="0.35">
      <c r="A87" s="193" t="str">
        <f>$C$1&amp;".E30A.REM.IBUS.DISB.450TO750.."</f>
        <v>xxxx.E30A.REM.IBUS.DISB.450TO750..</v>
      </c>
      <c r="B87" s="88">
        <f>PAGE1!$K$58</f>
        <v>0</v>
      </c>
      <c r="C87" s="89">
        <f>PAGE1!$M$58</f>
        <v>0</v>
      </c>
    </row>
    <row r="88" spans="1:3" x14ac:dyDescent="0.35">
      <c r="A88" s="193" t="str">
        <f>$C$1&amp;".E30A.REM.IBUS.OS.450TO750.."</f>
        <v>xxxx.E30A.REM.IBUS.OS.450TO750..</v>
      </c>
      <c r="B88" s="88">
        <f>PAGE1!$O$58</f>
        <v>0</v>
      </c>
      <c r="C88" s="89">
        <f>PAGE1!$Q$58</f>
        <v>0</v>
      </c>
    </row>
    <row r="89" spans="1:3" x14ac:dyDescent="0.35">
      <c r="A89" s="193" t="str">
        <f>$C$1&amp;".E30A.REM.IBUS.APPR.750TO1000.."</f>
        <v>xxxx.E30A.REM.IBUS.APPR.750TO1000..</v>
      </c>
      <c r="B89" s="88">
        <f>PAGE1!$G$59</f>
        <v>0</v>
      </c>
      <c r="C89" s="89">
        <f>PAGE1!$I$59</f>
        <v>0</v>
      </c>
    </row>
    <row r="90" spans="1:3" x14ac:dyDescent="0.35">
      <c r="A90" s="193" t="str">
        <f>$C$1&amp;".E30A.REM.IBUS.DISB.750TO1000.."</f>
        <v>xxxx.E30A.REM.IBUS.DISB.750TO1000..</v>
      </c>
      <c r="B90" s="88">
        <f>PAGE1!$K$59</f>
        <v>0</v>
      </c>
      <c r="C90" s="89">
        <f>PAGE1!$M$59</f>
        <v>0</v>
      </c>
    </row>
    <row r="91" spans="1:3" x14ac:dyDescent="0.35">
      <c r="A91" s="193" t="str">
        <f>$C$1&amp;".E30A.REM.IBUS.OS.750TO1000.."</f>
        <v>xxxx.E30A.REM.IBUS.OS.750TO1000..</v>
      </c>
      <c r="B91" s="88">
        <f>PAGE1!$O$59</f>
        <v>0</v>
      </c>
      <c r="C91" s="89">
        <f>PAGE1!$Q$59</f>
        <v>0</v>
      </c>
    </row>
    <row r="92" spans="1:3" x14ac:dyDescent="0.35">
      <c r="A92" s="193" t="str">
        <f>$C$1&amp;".E30A.REM.IBUS.APPR.1000TO1250.."</f>
        <v>xxxx.E30A.REM.IBUS.APPR.1000TO1250..</v>
      </c>
      <c r="B92" s="88">
        <f>PAGE1!$G$60</f>
        <v>0</v>
      </c>
      <c r="C92" s="89">
        <f>PAGE1!$I$60</f>
        <v>0</v>
      </c>
    </row>
    <row r="93" spans="1:3" x14ac:dyDescent="0.35">
      <c r="A93" s="193" t="str">
        <f>$C$1&amp;".E30A.REM.IBUS.DISB.1000TO1250.."</f>
        <v>xxxx.E30A.REM.IBUS.DISB.1000TO1250..</v>
      </c>
      <c r="B93" s="88">
        <f>PAGE1!$K$60</f>
        <v>0</v>
      </c>
      <c r="C93" s="89">
        <f>PAGE1!$M$60</f>
        <v>0</v>
      </c>
    </row>
    <row r="94" spans="1:3" x14ac:dyDescent="0.35">
      <c r="A94" s="193" t="str">
        <f>$C$1&amp;".E30A.REM.IBUS.OS.1000TO1250.."</f>
        <v>xxxx.E30A.REM.IBUS.OS.1000TO1250..</v>
      </c>
      <c r="B94" s="88">
        <f>PAGE1!$O$60</f>
        <v>0</v>
      </c>
      <c r="C94" s="89">
        <f>PAGE1!$Q$60</f>
        <v>0</v>
      </c>
    </row>
    <row r="95" spans="1:3" x14ac:dyDescent="0.35">
      <c r="A95" s="193" t="str">
        <f>$C$1&amp;".E30A.REM.IBUS.APPR.1250TO1500.."</f>
        <v>xxxx.E30A.REM.IBUS.APPR.1250TO1500..</v>
      </c>
      <c r="B95" s="88">
        <f>PAGE1!$G$61</f>
        <v>0</v>
      </c>
      <c r="C95" s="89">
        <f>PAGE1!$I$61</f>
        <v>0</v>
      </c>
    </row>
    <row r="96" spans="1:3" x14ac:dyDescent="0.35">
      <c r="A96" s="193" t="str">
        <f>$C$1&amp;".E30A.REM.IBUS.DISB.1250TO1500.."</f>
        <v>xxxx.E30A.REM.IBUS.DISB.1250TO1500..</v>
      </c>
      <c r="B96" s="88">
        <f>PAGE1!$K$61</f>
        <v>0</v>
      </c>
      <c r="C96" s="89">
        <f>PAGE1!$M$61</f>
        <v>0</v>
      </c>
    </row>
    <row r="97" spans="1:3" x14ac:dyDescent="0.35">
      <c r="A97" s="193" t="str">
        <f>$C$1&amp;".E30A.REM.IBUS.OS.1250TO1500.."</f>
        <v>xxxx.E30A.REM.IBUS.OS.1250TO1500..</v>
      </c>
      <c r="B97" s="88">
        <f>PAGE1!$O$61</f>
        <v>0</v>
      </c>
      <c r="C97" s="89">
        <f>PAGE1!$Q$61</f>
        <v>0</v>
      </c>
    </row>
    <row r="98" spans="1:3" x14ac:dyDescent="0.35">
      <c r="A98" s="193" t="str">
        <f>$C$1&amp;".E30A.REM.IBUS.APPR.1500TO1750.."</f>
        <v>xxxx.E30A.REM.IBUS.APPR.1500TO1750..</v>
      </c>
      <c r="B98" s="88">
        <f>PAGE1!$G$62</f>
        <v>0</v>
      </c>
      <c r="C98" s="89">
        <f>PAGE1!$I$62</f>
        <v>0</v>
      </c>
    </row>
    <row r="99" spans="1:3" x14ac:dyDescent="0.35">
      <c r="A99" s="193" t="str">
        <f>$C$1&amp;".E30A.REM.IBUS.DISB.1500TO1750.."</f>
        <v>xxxx.E30A.REM.IBUS.DISB.1500TO1750..</v>
      </c>
      <c r="B99" s="88">
        <f>PAGE1!$K$62</f>
        <v>0</v>
      </c>
      <c r="C99" s="89">
        <f>PAGE1!$M$62</f>
        <v>0</v>
      </c>
    </row>
    <row r="100" spans="1:3" x14ac:dyDescent="0.35">
      <c r="A100" s="193" t="str">
        <f>$C$1&amp;".E30A.REM.IBUS.OS.1500TO1750.."</f>
        <v>xxxx.E30A.REM.IBUS.OS.1500TO1750..</v>
      </c>
      <c r="B100" s="88">
        <f>PAGE1!$O$62</f>
        <v>0</v>
      </c>
      <c r="C100" s="89">
        <f>PAGE1!$Q$62</f>
        <v>0</v>
      </c>
    </row>
    <row r="101" spans="1:3" x14ac:dyDescent="0.35">
      <c r="A101" s="193" t="str">
        <f>$C$1&amp;".E30A.REM.IBUS.APPR.1750TO2000.."</f>
        <v>xxxx.E30A.REM.IBUS.APPR.1750TO2000..</v>
      </c>
      <c r="B101" s="88">
        <f>PAGE1!$G$63</f>
        <v>0</v>
      </c>
      <c r="C101" s="89">
        <f>PAGE1!$I$63</f>
        <v>0</v>
      </c>
    </row>
    <row r="102" spans="1:3" x14ac:dyDescent="0.35">
      <c r="A102" s="193" t="str">
        <f>$C$1&amp;".E30A.REM.IBUS.DISB.1750TO2000.."</f>
        <v>xxxx.E30A.REM.IBUS.DISB.1750TO2000..</v>
      </c>
      <c r="B102" s="88">
        <f>PAGE1!$K$63</f>
        <v>0</v>
      </c>
      <c r="C102" s="89">
        <f>PAGE1!$M$63</f>
        <v>0</v>
      </c>
    </row>
    <row r="103" spans="1:3" x14ac:dyDescent="0.35">
      <c r="A103" s="193" t="str">
        <f>$C$1&amp;".E30A.REM.IBUS.OS.1750TO2000.."</f>
        <v>xxxx.E30A.REM.IBUS.OS.1750TO2000..</v>
      </c>
      <c r="B103" s="88">
        <f>PAGE1!$O$63</f>
        <v>0</v>
      </c>
      <c r="C103" s="89">
        <f>PAGE1!$Q$63</f>
        <v>0</v>
      </c>
    </row>
    <row r="104" spans="1:3" x14ac:dyDescent="0.35">
      <c r="A104" s="193" t="str">
        <f>$C$1&amp;".E30A.REM.IBUS.APPR.2000TO2250.."</f>
        <v>xxxx.E30A.REM.IBUS.APPR.2000TO2250..</v>
      </c>
      <c r="B104" s="88">
        <f>PAGE1!$G$64</f>
        <v>0</v>
      </c>
      <c r="C104" s="89">
        <f>PAGE1!$I$64</f>
        <v>0</v>
      </c>
    </row>
    <row r="105" spans="1:3" x14ac:dyDescent="0.35">
      <c r="A105" s="193" t="str">
        <f>$C$1&amp;".E30A.REM.IBUS.DISB.2000TO2250.."</f>
        <v>xxxx.E30A.REM.IBUS.DISB.2000TO2250..</v>
      </c>
      <c r="B105" s="88">
        <f>PAGE1!$K$64</f>
        <v>0</v>
      </c>
      <c r="C105" s="89">
        <f>PAGE1!$M$64</f>
        <v>0</v>
      </c>
    </row>
    <row r="106" spans="1:3" x14ac:dyDescent="0.35">
      <c r="A106" s="193" t="str">
        <f>$C$1&amp;".E30A.REM.IBUS.OS.2000TO2250.."</f>
        <v>xxxx.E30A.REM.IBUS.OS.2000TO2250..</v>
      </c>
      <c r="B106" s="88">
        <f>PAGE1!$O$64</f>
        <v>0</v>
      </c>
      <c r="C106" s="89">
        <f>PAGE1!$Q$64</f>
        <v>0</v>
      </c>
    </row>
    <row r="107" spans="1:3" x14ac:dyDescent="0.35">
      <c r="A107" s="193" t="str">
        <f>$C$1&amp;".E30A.REM.IBUS.APPR.2250TO2500.."</f>
        <v>xxxx.E30A.REM.IBUS.APPR.2250TO2500..</v>
      </c>
      <c r="B107" s="88">
        <f>PAGE1!$G$65</f>
        <v>0</v>
      </c>
      <c r="C107" s="89">
        <f>PAGE1!$I$65</f>
        <v>0</v>
      </c>
    </row>
    <row r="108" spans="1:3" x14ac:dyDescent="0.35">
      <c r="A108" s="193" t="str">
        <f>$C$1&amp;".E30A.REM.IBUS.DISB.2250TO2500.."</f>
        <v>xxxx.E30A.REM.IBUS.DISB.2250TO2500..</v>
      </c>
      <c r="B108" s="88">
        <f>PAGE1!$K$65</f>
        <v>0</v>
      </c>
      <c r="C108" s="89">
        <f>PAGE1!$M$65</f>
        <v>0</v>
      </c>
    </row>
    <row r="109" spans="1:3" x14ac:dyDescent="0.35">
      <c r="A109" s="193" t="str">
        <f>$C$1&amp;".E30A.REM.IBUS.OS.2250TO2500.."</f>
        <v>xxxx.E30A.REM.IBUS.OS.2250TO2500..</v>
      </c>
      <c r="B109" s="88">
        <f>PAGE1!$O$65</f>
        <v>0</v>
      </c>
      <c r="C109" s="89">
        <f>PAGE1!$Q$65</f>
        <v>0</v>
      </c>
    </row>
    <row r="110" spans="1:3" x14ac:dyDescent="0.35">
      <c r="A110" s="193" t="str">
        <f>$C$1&amp;".E30A.REM.IBUS.APPR.2500TO2750.."</f>
        <v>xxxx.E30A.REM.IBUS.APPR.2500TO2750..</v>
      </c>
      <c r="B110" s="88">
        <f>PAGE1!$G$66</f>
        <v>0</v>
      </c>
      <c r="C110" s="89">
        <f>PAGE1!$I$66</f>
        <v>0</v>
      </c>
    </row>
    <row r="111" spans="1:3" x14ac:dyDescent="0.35">
      <c r="A111" s="193" t="str">
        <f>$C$1&amp;".E30A.REM.IBUS.DISB.2500TO2750.."</f>
        <v>xxxx.E30A.REM.IBUS.DISB.2500TO2750..</v>
      </c>
      <c r="B111" s="88">
        <f>PAGE1!$K$66</f>
        <v>0</v>
      </c>
      <c r="C111" s="89">
        <f>PAGE1!$M$66</f>
        <v>0</v>
      </c>
    </row>
    <row r="112" spans="1:3" x14ac:dyDescent="0.35">
      <c r="A112" s="193" t="str">
        <f>$C$1&amp;".E30A.REM.IBUS.OS.2500TO2750.."</f>
        <v>xxxx.E30A.REM.IBUS.OS.2500TO2750..</v>
      </c>
      <c r="B112" s="88">
        <f>PAGE1!$O$66</f>
        <v>0</v>
      </c>
      <c r="C112" s="89">
        <f>PAGE1!$Q$66</f>
        <v>0</v>
      </c>
    </row>
    <row r="113" spans="1:3" x14ac:dyDescent="0.35">
      <c r="A113" s="193" t="str">
        <f>$C$1&amp;".E30A.REM.IBUS.APPR.2750TO3000.."</f>
        <v>xxxx.E30A.REM.IBUS.APPR.2750TO3000..</v>
      </c>
      <c r="B113" s="88">
        <f>PAGE1!$G$67</f>
        <v>0</v>
      </c>
      <c r="C113" s="89">
        <f>PAGE1!$I$67</f>
        <v>0</v>
      </c>
    </row>
    <row r="114" spans="1:3" x14ac:dyDescent="0.35">
      <c r="A114" s="193" t="str">
        <f>$C$1&amp;".E30A.REM.IBUS.DISB.2750TO3000.."</f>
        <v>xxxx.E30A.REM.IBUS.DISB.2750TO3000..</v>
      </c>
      <c r="B114" s="88">
        <f>PAGE1!$K$67</f>
        <v>0</v>
      </c>
      <c r="C114" s="89">
        <f>PAGE1!$M$67</f>
        <v>0</v>
      </c>
    </row>
    <row r="115" spans="1:3" x14ac:dyDescent="0.35">
      <c r="A115" s="193" t="str">
        <f>$C$1&amp;".E30A.REM.IBUS.OS.2750TO3000.."</f>
        <v>xxxx.E30A.REM.IBUS.OS.2750TO3000..</v>
      </c>
      <c r="B115" s="88">
        <f>PAGE1!$O$67</f>
        <v>0</v>
      </c>
      <c r="C115" s="89">
        <f>PAGE1!$Q$67</f>
        <v>0</v>
      </c>
    </row>
    <row r="116" spans="1:3" x14ac:dyDescent="0.35">
      <c r="A116" s="193" t="str">
        <f>$C$1&amp;".E30A.REM.IBUS.APPR.OVR3000.."</f>
        <v>xxxx.E30A.REM.IBUS.APPR.OVR3000..</v>
      </c>
      <c r="B116" s="88">
        <f>PAGE1!$G$68</f>
        <v>0</v>
      </c>
      <c r="C116" s="89">
        <f>PAGE1!$I$68</f>
        <v>0</v>
      </c>
    </row>
    <row r="117" spans="1:3" x14ac:dyDescent="0.35">
      <c r="A117" s="193" t="str">
        <f>$C$1&amp;".E30A.REM.IBUS.DISB.OVR3000.."</f>
        <v>xxxx.E30A.REM.IBUS.DISB.OVR3000..</v>
      </c>
      <c r="B117" s="88">
        <f>PAGE1!$K$68</f>
        <v>0</v>
      </c>
      <c r="C117" s="89">
        <f>PAGE1!$M$68</f>
        <v>0</v>
      </c>
    </row>
    <row r="118" spans="1:3" x14ac:dyDescent="0.35">
      <c r="A118" s="193" t="str">
        <f>$C$1&amp;".E30A.REM.IBUS.OS.OVR3000.."</f>
        <v>xxxx.E30A.REM.IBUS.OS.OVR3000..</v>
      </c>
      <c r="B118" s="88">
        <f>PAGE1!$O$68</f>
        <v>0</v>
      </c>
      <c r="C118" s="89">
        <f>PAGE1!$Q$68</f>
        <v>0</v>
      </c>
    </row>
    <row r="119" spans="1:3" x14ac:dyDescent="0.35">
      <c r="A119" s="196" t="str">
        <f>$C$1&amp;".E30A.REM.IBUS.APPR.TTL.."</f>
        <v>xxxx.E30A.REM.IBUS.APPR.TTL..</v>
      </c>
      <c r="B119" s="88">
        <f>PAGE1!$G$56</f>
        <v>0</v>
      </c>
      <c r="C119" s="89">
        <f>PAGE1!$I$56</f>
        <v>0</v>
      </c>
    </row>
    <row r="120" spans="1:3" x14ac:dyDescent="0.35">
      <c r="A120" s="196" t="str">
        <f>$C$1&amp;".E30A.REM.IBUS.DISB.TTL.."</f>
        <v>xxxx.E30A.REM.IBUS.DISB.TTL..</v>
      </c>
      <c r="B120" s="88">
        <f>PAGE1!$K$56</f>
        <v>0</v>
      </c>
      <c r="C120" s="89">
        <f>PAGE1!$M$56</f>
        <v>0</v>
      </c>
    </row>
    <row r="121" spans="1:3" x14ac:dyDescent="0.35">
      <c r="A121" s="196" t="str">
        <f>$C$1&amp;".E30A.REM.IBUS.OS.TTL.."</f>
        <v>xxxx.E30A.REM.IBUS.OS.TTL..</v>
      </c>
      <c r="B121" s="88">
        <f>PAGE1!$O$56</f>
        <v>0</v>
      </c>
      <c r="C121" s="89">
        <f>PAGE1!$Q$56</f>
        <v>0</v>
      </c>
    </row>
    <row r="122" spans="1:3" x14ac:dyDescent="0.35">
      <c r="A122" s="193" t="str">
        <f>$C$1&amp;".E30A.REM.UIBUS.APPR.LT450.."</f>
        <v>xxxx.E30A.REM.UIBUS.APPR.LT450..</v>
      </c>
      <c r="B122" s="88">
        <f>PAGE1!$G$72</f>
        <v>0</v>
      </c>
      <c r="C122" s="89">
        <f>PAGE1!$I$72</f>
        <v>0</v>
      </c>
    </row>
    <row r="123" spans="1:3" x14ac:dyDescent="0.35">
      <c r="A123" s="193" t="str">
        <f>$C$1&amp;".E30A.REM.UIBUS.DISB.LT450.."</f>
        <v>xxxx.E30A.REM.UIBUS.DISB.LT450..</v>
      </c>
      <c r="B123" s="88">
        <f>PAGE1!$K$72</f>
        <v>0</v>
      </c>
      <c r="C123" s="89">
        <f>PAGE1!$M$72</f>
        <v>0</v>
      </c>
    </row>
    <row r="124" spans="1:3" x14ac:dyDescent="0.35">
      <c r="A124" s="193" t="str">
        <f>$C$1&amp;".E30A.REM.UIBUS.OS.LT450.."</f>
        <v>xxxx.E30A.REM.UIBUS.OS.LT450..</v>
      </c>
      <c r="B124" s="88">
        <f>PAGE1!$O$72</f>
        <v>0</v>
      </c>
      <c r="C124" s="89">
        <f>PAGE1!$Q$72</f>
        <v>0</v>
      </c>
    </row>
    <row r="125" spans="1:3" x14ac:dyDescent="0.35">
      <c r="A125" s="193" t="str">
        <f>$C$1&amp;".E30A.REM.UIBUS.APPR.450TO750.."</f>
        <v>xxxx.E30A.REM.UIBUS.APPR.450TO750..</v>
      </c>
      <c r="B125" s="88">
        <f>PAGE1!$G$73</f>
        <v>0</v>
      </c>
      <c r="C125" s="89">
        <f>PAGE1!$I$73</f>
        <v>0</v>
      </c>
    </row>
    <row r="126" spans="1:3" x14ac:dyDescent="0.35">
      <c r="A126" s="193" t="str">
        <f>$C$1&amp;".E30A.REM.UIBUS.DISB.450TO750.."</f>
        <v>xxxx.E30A.REM.UIBUS.DISB.450TO750..</v>
      </c>
      <c r="B126" s="88">
        <f>PAGE1!$K$73</f>
        <v>0</v>
      </c>
      <c r="C126" s="89">
        <f>PAGE1!$M$73</f>
        <v>0</v>
      </c>
    </row>
    <row r="127" spans="1:3" x14ac:dyDescent="0.35">
      <c r="A127" s="193" t="str">
        <f>$C$1&amp;".E30A.REM.UIBUS.OS.450TO750.."</f>
        <v>xxxx.E30A.REM.UIBUS.OS.450TO750..</v>
      </c>
      <c r="B127" s="88">
        <f>PAGE1!$O$73</f>
        <v>0</v>
      </c>
      <c r="C127" s="89">
        <f>PAGE1!$Q$73</f>
        <v>0</v>
      </c>
    </row>
    <row r="128" spans="1:3" x14ac:dyDescent="0.35">
      <c r="A128" s="193" t="str">
        <f>$C$1&amp;".E30A.REM.UIBUS.APPR.750TO1000.."</f>
        <v>xxxx.E30A.REM.UIBUS.APPR.750TO1000..</v>
      </c>
      <c r="B128" s="88">
        <f>PAGE1!$G$74</f>
        <v>0</v>
      </c>
      <c r="C128" s="89">
        <f>PAGE1!$I$74</f>
        <v>0</v>
      </c>
    </row>
    <row r="129" spans="1:3" x14ac:dyDescent="0.35">
      <c r="A129" s="193" t="str">
        <f>$C$1&amp;".E30A.REM.UIBUS.DISB.750TO1000.."</f>
        <v>xxxx.E30A.REM.UIBUS.DISB.750TO1000..</v>
      </c>
      <c r="B129" s="88">
        <f>PAGE1!$K$74</f>
        <v>0</v>
      </c>
      <c r="C129" s="89">
        <f>PAGE1!$M$74</f>
        <v>0</v>
      </c>
    </row>
    <row r="130" spans="1:3" x14ac:dyDescent="0.35">
      <c r="A130" s="193" t="str">
        <f>$C$1&amp;".E30A.REM.UIBUS.OS.750TO1000.."</f>
        <v>xxxx.E30A.REM.UIBUS.OS.750TO1000..</v>
      </c>
      <c r="B130" s="88">
        <f>PAGE1!$O$74</f>
        <v>0</v>
      </c>
      <c r="C130" s="89">
        <f>PAGE1!$Q$74</f>
        <v>0</v>
      </c>
    </row>
    <row r="131" spans="1:3" x14ac:dyDescent="0.35">
      <c r="A131" s="193" t="str">
        <f>$C$1&amp;".E30A.REM.UIBUS.APPR.1000TO1250.."</f>
        <v>xxxx.E30A.REM.UIBUS.APPR.1000TO1250..</v>
      </c>
      <c r="B131" s="88">
        <f>PAGE1!$G$75</f>
        <v>0</v>
      </c>
      <c r="C131" s="89">
        <f>PAGE1!$I$75</f>
        <v>0</v>
      </c>
    </row>
    <row r="132" spans="1:3" x14ac:dyDescent="0.35">
      <c r="A132" s="193" t="str">
        <f>$C$1&amp;".E30A.REM.UIBUS.DISB.1000TO1250.."</f>
        <v>xxxx.E30A.REM.UIBUS.DISB.1000TO1250..</v>
      </c>
      <c r="B132" s="88">
        <f>PAGE1!$K$75</f>
        <v>0</v>
      </c>
      <c r="C132" s="89">
        <f>PAGE1!$M$75</f>
        <v>0</v>
      </c>
    </row>
    <row r="133" spans="1:3" x14ac:dyDescent="0.35">
      <c r="A133" s="193" t="str">
        <f>$C$1&amp;".E30A.REM.UIBUS.OS.1000TO1250.."</f>
        <v>xxxx.E30A.REM.UIBUS.OS.1000TO1250..</v>
      </c>
      <c r="B133" s="88">
        <f>PAGE1!$O$75</f>
        <v>0</v>
      </c>
      <c r="C133" s="89">
        <f>PAGE1!$Q$75</f>
        <v>0</v>
      </c>
    </row>
    <row r="134" spans="1:3" x14ac:dyDescent="0.35">
      <c r="A134" s="193" t="str">
        <f>$C$1&amp;".E30A.REM.UIBUS.APPR.1250TO1500.."</f>
        <v>xxxx.E30A.REM.UIBUS.APPR.1250TO1500..</v>
      </c>
      <c r="B134" s="88">
        <f>PAGE1!$G$76</f>
        <v>0</v>
      </c>
      <c r="C134" s="89">
        <f>PAGE1!$I$76</f>
        <v>0</v>
      </c>
    </row>
    <row r="135" spans="1:3" x14ac:dyDescent="0.35">
      <c r="A135" s="193" t="str">
        <f>$C$1&amp;".E30A.REM.UIBUS.DISB.1250TO1500.."</f>
        <v>xxxx.E30A.REM.UIBUS.DISB.1250TO1500..</v>
      </c>
      <c r="B135" s="88">
        <f>PAGE1!$K$76</f>
        <v>0</v>
      </c>
      <c r="C135" s="89">
        <f>PAGE1!$M$76</f>
        <v>0</v>
      </c>
    </row>
    <row r="136" spans="1:3" x14ac:dyDescent="0.35">
      <c r="A136" s="193" t="str">
        <f>$C$1&amp;".E30A.REM.UIBUS.OS.1250TO1500.."</f>
        <v>xxxx.E30A.REM.UIBUS.OS.1250TO1500..</v>
      </c>
      <c r="B136" s="88">
        <f>PAGE1!$O$76</f>
        <v>0</v>
      </c>
      <c r="C136" s="89">
        <f>PAGE1!$Q$76</f>
        <v>0</v>
      </c>
    </row>
    <row r="137" spans="1:3" x14ac:dyDescent="0.35">
      <c r="A137" s="193" t="str">
        <f>$C$1&amp;".E30A.REM.UIBUS.APPR.1500TO1750.."</f>
        <v>xxxx.E30A.REM.UIBUS.APPR.1500TO1750..</v>
      </c>
      <c r="B137" s="88">
        <f>PAGE1!$G$77</f>
        <v>0</v>
      </c>
      <c r="C137" s="89">
        <f>PAGE1!$I$77</f>
        <v>0</v>
      </c>
    </row>
    <row r="138" spans="1:3" x14ac:dyDescent="0.35">
      <c r="A138" s="193" t="str">
        <f>$C$1&amp;".E30A.REM.UIBUS.DISB.1500TO1750.."</f>
        <v>xxxx.E30A.REM.UIBUS.DISB.1500TO1750..</v>
      </c>
      <c r="B138" s="88">
        <f>PAGE1!$K$77</f>
        <v>0</v>
      </c>
      <c r="C138" s="89">
        <f>PAGE1!$M$77</f>
        <v>0</v>
      </c>
    </row>
    <row r="139" spans="1:3" x14ac:dyDescent="0.35">
      <c r="A139" s="193" t="str">
        <f>$C$1&amp;".E30A.REM.UIBUS.OS.1500TO1750.."</f>
        <v>xxxx.E30A.REM.UIBUS.OS.1500TO1750..</v>
      </c>
      <c r="B139" s="88">
        <f>PAGE1!$O$77</f>
        <v>0</v>
      </c>
      <c r="C139" s="89">
        <f>PAGE1!$Q$77</f>
        <v>0</v>
      </c>
    </row>
    <row r="140" spans="1:3" x14ac:dyDescent="0.35">
      <c r="A140" s="193" t="str">
        <f>$C$1&amp;".E30A.REM.UIBUS.APPR.1750TO2000.."</f>
        <v>xxxx.E30A.REM.UIBUS.APPR.1750TO2000..</v>
      </c>
      <c r="B140" s="88">
        <f>PAGE1!$G$78</f>
        <v>0</v>
      </c>
      <c r="C140" s="89">
        <f>PAGE1!$I$78</f>
        <v>0</v>
      </c>
    </row>
    <row r="141" spans="1:3" x14ac:dyDescent="0.35">
      <c r="A141" s="193" t="str">
        <f>$C$1&amp;".E30A.REM.UIBUS.DISB.1750TO2000.."</f>
        <v>xxxx.E30A.REM.UIBUS.DISB.1750TO2000..</v>
      </c>
      <c r="B141" s="88">
        <f>PAGE1!$K$78</f>
        <v>0</v>
      </c>
      <c r="C141" s="89">
        <f>PAGE1!$M$78</f>
        <v>0</v>
      </c>
    </row>
    <row r="142" spans="1:3" x14ac:dyDescent="0.35">
      <c r="A142" s="193" t="str">
        <f>$C$1&amp;".E30A.REM.UIBUS.OS.1750TO2000.."</f>
        <v>xxxx.E30A.REM.UIBUS.OS.1750TO2000..</v>
      </c>
      <c r="B142" s="88">
        <f>PAGE1!$O$78</f>
        <v>0</v>
      </c>
      <c r="C142" s="89">
        <f>PAGE1!$Q$78</f>
        <v>0</v>
      </c>
    </row>
    <row r="143" spans="1:3" x14ac:dyDescent="0.35">
      <c r="A143" s="193" t="str">
        <f>$C$1&amp;".E30A.REM.UIBUS.APPR.2000TO2250.."</f>
        <v>xxxx.E30A.REM.UIBUS.APPR.2000TO2250..</v>
      </c>
      <c r="B143" s="88">
        <f>PAGE1!$G$79</f>
        <v>0</v>
      </c>
      <c r="C143" s="89">
        <f>PAGE1!$I$79</f>
        <v>0</v>
      </c>
    </row>
    <row r="144" spans="1:3" x14ac:dyDescent="0.35">
      <c r="A144" s="193" t="str">
        <f>$C$1&amp;".E30A.REM.UIBUS.DISB.2000TO2250.."</f>
        <v>xxxx.E30A.REM.UIBUS.DISB.2000TO2250..</v>
      </c>
      <c r="B144" s="88">
        <f>PAGE1!$K$79</f>
        <v>0</v>
      </c>
      <c r="C144" s="89">
        <f>PAGE1!$M$79</f>
        <v>0</v>
      </c>
    </row>
    <row r="145" spans="1:3" x14ac:dyDescent="0.35">
      <c r="A145" s="193" t="str">
        <f>$C$1&amp;".E30A.REM.UIBUS.OS.2000TO2250.."</f>
        <v>xxxx.E30A.REM.UIBUS.OS.2000TO2250..</v>
      </c>
      <c r="B145" s="88">
        <f>PAGE1!$O$79</f>
        <v>0</v>
      </c>
      <c r="C145" s="89">
        <f>PAGE1!$Q$79</f>
        <v>0</v>
      </c>
    </row>
    <row r="146" spans="1:3" x14ac:dyDescent="0.35">
      <c r="A146" s="193" t="str">
        <f>$C$1&amp;".E30A.REM.UIBUS.APPR.2250TO2500.."</f>
        <v>xxxx.E30A.REM.UIBUS.APPR.2250TO2500..</v>
      </c>
      <c r="B146" s="88">
        <f>PAGE1!$G$80</f>
        <v>0</v>
      </c>
      <c r="C146" s="89">
        <f>PAGE1!$I$80</f>
        <v>0</v>
      </c>
    </row>
    <row r="147" spans="1:3" x14ac:dyDescent="0.35">
      <c r="A147" s="193" t="str">
        <f>$C$1&amp;".E30A.REM.UIBUS.DISB.2250TO2500.."</f>
        <v>xxxx.E30A.REM.UIBUS.DISB.2250TO2500..</v>
      </c>
      <c r="B147" s="88">
        <f>PAGE1!$K$80</f>
        <v>0</v>
      </c>
      <c r="C147" s="89">
        <f>PAGE1!$M$80</f>
        <v>0</v>
      </c>
    </row>
    <row r="148" spans="1:3" x14ac:dyDescent="0.35">
      <c r="A148" s="193" t="str">
        <f>$C$1&amp;".E30A.REM.UIBUS.OS.2250TO2500.."</f>
        <v>xxxx.E30A.REM.UIBUS.OS.2250TO2500..</v>
      </c>
      <c r="B148" s="88">
        <f>PAGE1!$O$80</f>
        <v>0</v>
      </c>
      <c r="C148" s="89">
        <f>PAGE1!$Q$80</f>
        <v>0</v>
      </c>
    </row>
    <row r="149" spans="1:3" x14ac:dyDescent="0.35">
      <c r="A149" s="193" t="str">
        <f>$C$1&amp;".E30A.REM.UIBUS.APPR.2500TO2750.."</f>
        <v>xxxx.E30A.REM.UIBUS.APPR.2500TO2750..</v>
      </c>
      <c r="B149" s="88">
        <f>PAGE1!$G$81</f>
        <v>0</v>
      </c>
      <c r="C149" s="89">
        <f>PAGE1!$I$81</f>
        <v>0</v>
      </c>
    </row>
    <row r="150" spans="1:3" x14ac:dyDescent="0.35">
      <c r="A150" s="193" t="str">
        <f>$C$1&amp;".E30A.REM.UIBUS.DISB.2500TO2750.."</f>
        <v>xxxx.E30A.REM.UIBUS.DISB.2500TO2750..</v>
      </c>
      <c r="B150" s="88">
        <f>PAGE1!$K$81</f>
        <v>0</v>
      </c>
      <c r="C150" s="89">
        <f>PAGE1!$M$81</f>
        <v>0</v>
      </c>
    </row>
    <row r="151" spans="1:3" x14ac:dyDescent="0.35">
      <c r="A151" s="193" t="str">
        <f>$C$1&amp;".E30A.REM.UIBUS.OS.2500TO2750.."</f>
        <v>xxxx.E30A.REM.UIBUS.OS.2500TO2750..</v>
      </c>
      <c r="B151" s="88">
        <f>PAGE1!$O$81</f>
        <v>0</v>
      </c>
      <c r="C151" s="89">
        <f>PAGE1!$Q$81</f>
        <v>0</v>
      </c>
    </row>
    <row r="152" spans="1:3" x14ac:dyDescent="0.35">
      <c r="A152" s="193" t="str">
        <f>$C$1&amp;".E30A.REM.UIBUS.APPR.2750TO3000.."</f>
        <v>xxxx.E30A.REM.UIBUS.APPR.2750TO3000..</v>
      </c>
      <c r="B152" s="88">
        <f>PAGE1!$G$82</f>
        <v>0</v>
      </c>
      <c r="C152" s="89">
        <f>PAGE1!$I$82</f>
        <v>0</v>
      </c>
    </row>
    <row r="153" spans="1:3" x14ac:dyDescent="0.35">
      <c r="A153" s="193" t="str">
        <f>$C$1&amp;".E30A.REM.UIBUS.DISB.2750TO3000.."</f>
        <v>xxxx.E30A.REM.UIBUS.DISB.2750TO3000..</v>
      </c>
      <c r="B153" s="88">
        <f>PAGE1!$K$82</f>
        <v>0</v>
      </c>
      <c r="C153" s="89">
        <f>PAGE1!$M$82</f>
        <v>0</v>
      </c>
    </row>
    <row r="154" spans="1:3" x14ac:dyDescent="0.35">
      <c r="A154" s="193" t="str">
        <f>$C$1&amp;".E30A.REM.UIBUS.OS.2750TO3000.."</f>
        <v>xxxx.E30A.REM.UIBUS.OS.2750TO3000..</v>
      </c>
      <c r="B154" s="88">
        <f>PAGE1!$O$82</f>
        <v>0</v>
      </c>
      <c r="C154" s="89">
        <f>PAGE1!$Q$82</f>
        <v>0</v>
      </c>
    </row>
    <row r="155" spans="1:3" x14ac:dyDescent="0.35">
      <c r="A155" s="193" t="str">
        <f>$C$1&amp;".E30A.REM.UIBUS.APPR.OVR3000.."</f>
        <v>xxxx.E30A.REM.UIBUS.APPR.OVR3000..</v>
      </c>
      <c r="B155" s="88">
        <f>PAGE1!$G$83</f>
        <v>0</v>
      </c>
      <c r="C155" s="89">
        <f>PAGE1!$I$83</f>
        <v>0</v>
      </c>
    </row>
    <row r="156" spans="1:3" x14ac:dyDescent="0.35">
      <c r="A156" s="193" t="str">
        <f>$C$1&amp;".E30A.REM.UIBUS.DISB.OVR3000.."</f>
        <v>xxxx.E30A.REM.UIBUS.DISB.OVR3000..</v>
      </c>
      <c r="B156" s="88">
        <f>PAGE1!$K$83</f>
        <v>0</v>
      </c>
      <c r="C156" s="89">
        <f>PAGE1!$M$83</f>
        <v>0</v>
      </c>
    </row>
    <row r="157" spans="1:3" x14ac:dyDescent="0.35">
      <c r="A157" s="193" t="str">
        <f>$C$1&amp;".E30A.REM.UIBUS.OS.OVR3000.."</f>
        <v>xxxx.E30A.REM.UIBUS.OS.OVR3000..</v>
      </c>
      <c r="B157" s="88">
        <f>PAGE1!$O$83</f>
        <v>0</v>
      </c>
      <c r="C157" s="89">
        <f>PAGE1!$Q$83</f>
        <v>0</v>
      </c>
    </row>
    <row r="158" spans="1:3" x14ac:dyDescent="0.35">
      <c r="A158" s="196" t="str">
        <f>$C$1&amp;".E30A.REM.UIBUS.APPR.TTL.."</f>
        <v>xxxx.E30A.REM.UIBUS.APPR.TTL..</v>
      </c>
      <c r="B158" s="88">
        <f>PAGE1!$G$71</f>
        <v>0</v>
      </c>
      <c r="C158" s="89">
        <f>PAGE1!$I$71</f>
        <v>0</v>
      </c>
    </row>
    <row r="159" spans="1:3" x14ac:dyDescent="0.35">
      <c r="A159" s="196" t="str">
        <f>$C$1&amp;".E30A.REM.UIBUS.DISB.TTL.."</f>
        <v>xxxx.E30A.REM.UIBUS.DISB.TTL..</v>
      </c>
      <c r="B159" s="88">
        <f>PAGE1!$K$71</f>
        <v>0</v>
      </c>
      <c r="C159" s="89">
        <f>PAGE1!$M$71</f>
        <v>0</v>
      </c>
    </row>
    <row r="160" spans="1:3" x14ac:dyDescent="0.35">
      <c r="A160" s="196" t="str">
        <f>$C$1&amp;".E30A.REM.UIBUS.OS.TTL.."</f>
        <v>xxxx.E30A.REM.UIBUS.OS.TTL..</v>
      </c>
      <c r="B160" s="88">
        <f>PAGE1!$O$71</f>
        <v>0</v>
      </c>
      <c r="C160" s="89">
        <f>PAGE1!$Q$71</f>
        <v>0</v>
      </c>
    </row>
    <row r="161" spans="1:3" x14ac:dyDescent="0.35">
      <c r="A161" s="193" t="str">
        <f>$C$1&amp;".E30A.REM.CONSM.APPR.LT450.."</f>
        <v>xxxx.E30A.REM.CONSM.APPR.LT450..</v>
      </c>
      <c r="B161" s="88">
        <f>PAGE1!$G$86</f>
        <v>0</v>
      </c>
      <c r="C161" s="89">
        <f>PAGE1!$I$86</f>
        <v>0</v>
      </c>
    </row>
    <row r="162" spans="1:3" x14ac:dyDescent="0.35">
      <c r="A162" s="193" t="str">
        <f>$C$1&amp;".E30A.REM.CONSM.DISB.LT450.."</f>
        <v>xxxx.E30A.REM.CONSM.DISB.LT450..</v>
      </c>
      <c r="B162" s="88">
        <f>PAGE1!$K$86</f>
        <v>0</v>
      </c>
      <c r="C162" s="89">
        <f>PAGE1!$M$86</f>
        <v>0</v>
      </c>
    </row>
    <row r="163" spans="1:3" x14ac:dyDescent="0.35">
      <c r="A163" s="193" t="str">
        <f>$C$1&amp;".E30A.REM.CONSM.OS.LT450.."</f>
        <v>xxxx.E30A.REM.CONSM.OS.LT450..</v>
      </c>
      <c r="B163" s="88">
        <f>PAGE1!$O$86</f>
        <v>0</v>
      </c>
      <c r="C163" s="89">
        <f>PAGE1!$Q$86</f>
        <v>0</v>
      </c>
    </row>
    <row r="164" spans="1:3" x14ac:dyDescent="0.35">
      <c r="A164" s="193" t="str">
        <f>$C$1&amp;".E30A.REM.CONSM.APPR.450TO750.."</f>
        <v>xxxx.E30A.REM.CONSM.APPR.450TO750..</v>
      </c>
      <c r="B164" s="88">
        <f>PAGE1!$G$87</f>
        <v>0</v>
      </c>
      <c r="C164" s="89">
        <f>PAGE1!$I$87</f>
        <v>0</v>
      </c>
    </row>
    <row r="165" spans="1:3" x14ac:dyDescent="0.35">
      <c r="A165" s="193" t="str">
        <f>$C$1&amp;".E30A.REM.CONSM.DISB.450TO750.."</f>
        <v>xxxx.E30A.REM.CONSM.DISB.450TO750..</v>
      </c>
      <c r="B165" s="88">
        <f>PAGE1!$K$87</f>
        <v>0</v>
      </c>
      <c r="C165" s="89">
        <f>PAGE1!$M$87</f>
        <v>0</v>
      </c>
    </row>
    <row r="166" spans="1:3" x14ac:dyDescent="0.35">
      <c r="A166" s="193" t="str">
        <f>$C$1&amp;".E30A.REM.CONSM.OS.450TO750.."</f>
        <v>xxxx.E30A.REM.CONSM.OS.450TO750..</v>
      </c>
      <c r="B166" s="88">
        <f>PAGE1!$O$87</f>
        <v>0</v>
      </c>
      <c r="C166" s="89">
        <f>PAGE1!$Q$87</f>
        <v>0</v>
      </c>
    </row>
    <row r="167" spans="1:3" x14ac:dyDescent="0.35">
      <c r="A167" s="193" t="str">
        <f>$C$1&amp;".E30A.REM.CONSM.APPR.750TO1000.."</f>
        <v>xxxx.E30A.REM.CONSM.APPR.750TO1000..</v>
      </c>
      <c r="B167" s="88">
        <f>PAGE1!$G$88</f>
        <v>0</v>
      </c>
      <c r="C167" s="89">
        <f>PAGE1!$I$88</f>
        <v>0</v>
      </c>
    </row>
    <row r="168" spans="1:3" x14ac:dyDescent="0.35">
      <c r="A168" s="193" t="str">
        <f>$C$1&amp;".E30A.REM.CONSM.DISB.750TO1000.."</f>
        <v>xxxx.E30A.REM.CONSM.DISB.750TO1000..</v>
      </c>
      <c r="B168" s="88">
        <f>PAGE1!$K$88</f>
        <v>0</v>
      </c>
      <c r="C168" s="89">
        <f>PAGE1!$M$88</f>
        <v>0</v>
      </c>
    </row>
    <row r="169" spans="1:3" x14ac:dyDescent="0.35">
      <c r="A169" s="193" t="str">
        <f>$C$1&amp;".E30A.REM.CONSM.OS.750TO1000.."</f>
        <v>xxxx.E30A.REM.CONSM.OS.750TO1000..</v>
      </c>
      <c r="B169" s="88">
        <f>PAGE1!$O$88</f>
        <v>0</v>
      </c>
      <c r="C169" s="89">
        <f>PAGE1!$Q$88</f>
        <v>0</v>
      </c>
    </row>
    <row r="170" spans="1:3" x14ac:dyDescent="0.35">
      <c r="A170" s="193" t="str">
        <f>$C$1&amp;".E30A.REM.CONSM.APPR.1000TO1250.."</f>
        <v>xxxx.E30A.REM.CONSM.APPR.1000TO1250..</v>
      </c>
      <c r="B170" s="88">
        <f>PAGE1!$G$89</f>
        <v>0</v>
      </c>
      <c r="C170" s="89">
        <f>PAGE1!$I$89</f>
        <v>0</v>
      </c>
    </row>
    <row r="171" spans="1:3" x14ac:dyDescent="0.35">
      <c r="A171" s="193" t="str">
        <f>$C$1&amp;".E30A.REM.CONSM.DISB.1000TO1250.."</f>
        <v>xxxx.E30A.REM.CONSM.DISB.1000TO1250..</v>
      </c>
      <c r="B171" s="88">
        <f>PAGE1!$K$89</f>
        <v>0</v>
      </c>
      <c r="C171" s="89">
        <f>PAGE1!$M$89</f>
        <v>0</v>
      </c>
    </row>
    <row r="172" spans="1:3" x14ac:dyDescent="0.35">
      <c r="A172" s="193" t="str">
        <f>$C$1&amp;".E30A.REM.CONSM.OS.1000TO1250.."</f>
        <v>xxxx.E30A.REM.CONSM.OS.1000TO1250..</v>
      </c>
      <c r="B172" s="88">
        <f>PAGE1!$O$89</f>
        <v>0</v>
      </c>
      <c r="C172" s="89">
        <f>PAGE1!$Q$89</f>
        <v>0</v>
      </c>
    </row>
    <row r="173" spans="1:3" x14ac:dyDescent="0.35">
      <c r="A173" s="193" t="str">
        <f>$C$1&amp;".E30A.REM.CONSM.APPR.1250TO1500.."</f>
        <v>xxxx.E30A.REM.CONSM.APPR.1250TO1500..</v>
      </c>
      <c r="B173" s="88">
        <f>PAGE1!$G$90</f>
        <v>0</v>
      </c>
      <c r="C173" s="89">
        <f>PAGE1!$I$90</f>
        <v>0</v>
      </c>
    </row>
    <row r="174" spans="1:3" x14ac:dyDescent="0.35">
      <c r="A174" s="193" t="str">
        <f>$C$1&amp;".E30A.REM.CONSM.DISB.1250TO1500.."</f>
        <v>xxxx.E30A.REM.CONSM.DISB.1250TO1500..</v>
      </c>
      <c r="B174" s="88">
        <f>PAGE1!$K$90</f>
        <v>0</v>
      </c>
      <c r="C174" s="89">
        <f>PAGE1!$M$90</f>
        <v>0</v>
      </c>
    </row>
    <row r="175" spans="1:3" x14ac:dyDescent="0.35">
      <c r="A175" s="193" t="str">
        <f>$C$1&amp;".E30A.REM.CONSM.OS.1250TO1500.."</f>
        <v>xxxx.E30A.REM.CONSM.OS.1250TO1500..</v>
      </c>
      <c r="B175" s="88">
        <f>PAGE1!$O$90</f>
        <v>0</v>
      </c>
      <c r="C175" s="89">
        <f>PAGE1!$Q$90</f>
        <v>0</v>
      </c>
    </row>
    <row r="176" spans="1:3" x14ac:dyDescent="0.35">
      <c r="A176" s="193" t="str">
        <f>$C$1&amp;".E30A.REM.CONSM.APPR.1500TO1750.."</f>
        <v>xxxx.E30A.REM.CONSM.APPR.1500TO1750..</v>
      </c>
      <c r="B176" s="88">
        <f>PAGE1!$G$91</f>
        <v>0</v>
      </c>
      <c r="C176" s="89">
        <f>PAGE1!$I$91</f>
        <v>0</v>
      </c>
    </row>
    <row r="177" spans="1:3" x14ac:dyDescent="0.35">
      <c r="A177" s="193" t="str">
        <f>$C$1&amp;".E30A.REM.CONSM.DISB.1500TO1750.."</f>
        <v>xxxx.E30A.REM.CONSM.DISB.1500TO1750..</v>
      </c>
      <c r="B177" s="88">
        <f>PAGE1!$K$91</f>
        <v>0</v>
      </c>
      <c r="C177" s="89">
        <f>PAGE1!$M$91</f>
        <v>0</v>
      </c>
    </row>
    <row r="178" spans="1:3" x14ac:dyDescent="0.35">
      <c r="A178" s="193" t="str">
        <f>$C$1&amp;".E30A.REM.CONSM.OS.1500TO1750.."</f>
        <v>xxxx.E30A.REM.CONSM.OS.1500TO1750..</v>
      </c>
      <c r="B178" s="88">
        <f>PAGE1!$O$91</f>
        <v>0</v>
      </c>
      <c r="C178" s="89">
        <f>PAGE1!$Q$91</f>
        <v>0</v>
      </c>
    </row>
    <row r="179" spans="1:3" x14ac:dyDescent="0.35">
      <c r="A179" s="193" t="str">
        <f>$C$1&amp;".E30A.REM.CONSM.APPR.1750TO2000.."</f>
        <v>xxxx.E30A.REM.CONSM.APPR.1750TO2000..</v>
      </c>
      <c r="B179" s="88">
        <f>PAGE1!$G$92</f>
        <v>0</v>
      </c>
      <c r="C179" s="89">
        <f>PAGE1!$I$92</f>
        <v>0</v>
      </c>
    </row>
    <row r="180" spans="1:3" x14ac:dyDescent="0.35">
      <c r="A180" s="193" t="str">
        <f>$C$1&amp;".E30A.REM.CONSM.DISB.1750TO2000.."</f>
        <v>xxxx.E30A.REM.CONSM.DISB.1750TO2000..</v>
      </c>
      <c r="B180" s="88">
        <f>PAGE1!$K$92</f>
        <v>0</v>
      </c>
      <c r="C180" s="89">
        <f>PAGE1!$M$92</f>
        <v>0</v>
      </c>
    </row>
    <row r="181" spans="1:3" x14ac:dyDescent="0.35">
      <c r="A181" s="193" t="str">
        <f>$C$1&amp;".E30A.REM.CONSM.OS.1750TO2000.."</f>
        <v>xxxx.E30A.REM.CONSM.OS.1750TO2000..</v>
      </c>
      <c r="B181" s="88">
        <f>PAGE1!$O$92</f>
        <v>0</v>
      </c>
      <c r="C181" s="89">
        <f>PAGE1!$Q$92</f>
        <v>0</v>
      </c>
    </row>
    <row r="182" spans="1:3" x14ac:dyDescent="0.35">
      <c r="A182" s="193" t="str">
        <f>$C$1&amp;".E30A.REM.CONSM.APPR.2000TO2250.."</f>
        <v>xxxx.E30A.REM.CONSM.APPR.2000TO2250..</v>
      </c>
      <c r="B182" s="88">
        <f>PAGE1!$G$93</f>
        <v>0</v>
      </c>
      <c r="C182" s="89">
        <f>PAGE1!$I$93</f>
        <v>0</v>
      </c>
    </row>
    <row r="183" spans="1:3" x14ac:dyDescent="0.35">
      <c r="A183" s="193" t="str">
        <f>$C$1&amp;".E30A.REM.CONSM.DISB.2000TO2250.."</f>
        <v>xxxx.E30A.REM.CONSM.DISB.2000TO2250..</v>
      </c>
      <c r="B183" s="88">
        <f>PAGE1!$K$93</f>
        <v>0</v>
      </c>
      <c r="C183" s="89">
        <f>PAGE1!$M$93</f>
        <v>0</v>
      </c>
    </row>
    <row r="184" spans="1:3" x14ac:dyDescent="0.35">
      <c r="A184" s="193" t="str">
        <f>$C$1&amp;".E30A.REM.CONSM.OS.2000TO2250.."</f>
        <v>xxxx.E30A.REM.CONSM.OS.2000TO2250..</v>
      </c>
      <c r="B184" s="88">
        <f>PAGE1!$O$93</f>
        <v>0</v>
      </c>
      <c r="C184" s="89">
        <f>PAGE1!$Q$93</f>
        <v>0</v>
      </c>
    </row>
    <row r="185" spans="1:3" x14ac:dyDescent="0.35">
      <c r="A185" s="193" t="str">
        <f>$C$1&amp;".E30A.REM.CONSM.APPR.2250TO2500.."</f>
        <v>xxxx.E30A.REM.CONSM.APPR.2250TO2500..</v>
      </c>
      <c r="B185" s="88">
        <f>PAGE1!$G$94</f>
        <v>0</v>
      </c>
      <c r="C185" s="89">
        <f>PAGE1!$I$94</f>
        <v>0</v>
      </c>
    </row>
    <row r="186" spans="1:3" x14ac:dyDescent="0.35">
      <c r="A186" s="193" t="str">
        <f>$C$1&amp;".E30A.REM.CONSM.DISB.2250TO2500.."</f>
        <v>xxxx.E30A.REM.CONSM.DISB.2250TO2500..</v>
      </c>
      <c r="B186" s="88">
        <f>PAGE1!$K$94</f>
        <v>0</v>
      </c>
      <c r="C186" s="89">
        <f>PAGE1!$M$94</f>
        <v>0</v>
      </c>
    </row>
    <row r="187" spans="1:3" x14ac:dyDescent="0.35">
      <c r="A187" s="193" t="str">
        <f>$C$1&amp;".E30A.REM.CONSM.OS.2250TO2500.."</f>
        <v>xxxx.E30A.REM.CONSM.OS.2250TO2500..</v>
      </c>
      <c r="B187" s="88">
        <f>PAGE1!$O$94</f>
        <v>0</v>
      </c>
      <c r="C187" s="89">
        <f>PAGE1!$Q$94</f>
        <v>0</v>
      </c>
    </row>
    <row r="188" spans="1:3" x14ac:dyDescent="0.35">
      <c r="A188" s="193" t="str">
        <f>$C$1&amp;".E30A.REM.CONSM.APPR.2500TO2750.."</f>
        <v>xxxx.E30A.REM.CONSM.APPR.2500TO2750..</v>
      </c>
      <c r="B188" s="88">
        <f>PAGE1!$G$95</f>
        <v>0</v>
      </c>
      <c r="C188" s="89">
        <f>PAGE1!$I$95</f>
        <v>0</v>
      </c>
    </row>
    <row r="189" spans="1:3" x14ac:dyDescent="0.35">
      <c r="A189" s="193" t="str">
        <f>$C$1&amp;".E30A.REM.CONSM.DISB.2500TO2750.."</f>
        <v>xxxx.E30A.REM.CONSM.DISB.2500TO2750..</v>
      </c>
      <c r="B189" s="88">
        <f>PAGE1!$K$95</f>
        <v>0</v>
      </c>
      <c r="C189" s="89">
        <f>PAGE1!$M$95</f>
        <v>0</v>
      </c>
    </row>
    <row r="190" spans="1:3" x14ac:dyDescent="0.35">
      <c r="A190" s="193" t="str">
        <f>$C$1&amp;".E30A.REM.CONSM.OS.2500TO2750.."</f>
        <v>xxxx.E30A.REM.CONSM.OS.2500TO2750..</v>
      </c>
      <c r="B190" s="88">
        <f>PAGE1!$O$95</f>
        <v>0</v>
      </c>
      <c r="C190" s="89">
        <f>PAGE1!$Q$95</f>
        <v>0</v>
      </c>
    </row>
    <row r="191" spans="1:3" x14ac:dyDescent="0.35">
      <c r="A191" s="193" t="str">
        <f>$C$1&amp;".E30A.REM.CONSM.APPR.2750TO3000.."</f>
        <v>xxxx.E30A.REM.CONSM.APPR.2750TO3000..</v>
      </c>
      <c r="B191" s="88">
        <f>PAGE1!$G$96</f>
        <v>0</v>
      </c>
      <c r="C191" s="89">
        <f>PAGE1!$I$96</f>
        <v>0</v>
      </c>
    </row>
    <row r="192" spans="1:3" x14ac:dyDescent="0.35">
      <c r="A192" s="193" t="str">
        <f>$C$1&amp;".E30A.REM.CONSM.DISB.2750TO3000.."</f>
        <v>xxxx.E30A.REM.CONSM.DISB.2750TO3000..</v>
      </c>
      <c r="B192" s="88">
        <f>PAGE1!$K$96</f>
        <v>0</v>
      </c>
      <c r="C192" s="89">
        <f>PAGE1!$M$96</f>
        <v>0</v>
      </c>
    </row>
    <row r="193" spans="1:3" x14ac:dyDescent="0.35">
      <c r="A193" s="193" t="str">
        <f>$C$1&amp;".E30A.REM.CONSM.OS.2750TO3000.."</f>
        <v>xxxx.E30A.REM.CONSM.OS.2750TO3000..</v>
      </c>
      <c r="B193" s="88">
        <f>PAGE1!$O$96</f>
        <v>0</v>
      </c>
      <c r="C193" s="89">
        <f>PAGE1!$Q$96</f>
        <v>0</v>
      </c>
    </row>
    <row r="194" spans="1:3" x14ac:dyDescent="0.35">
      <c r="A194" s="193" t="str">
        <f>$C$1&amp;".E30A.REM.CONSM.APPR.OVR3000.."</f>
        <v>xxxx.E30A.REM.CONSM.APPR.OVR3000..</v>
      </c>
      <c r="B194" s="88">
        <f>PAGE1!$G$97</f>
        <v>0</v>
      </c>
      <c r="C194" s="89">
        <f>PAGE1!$I$97</f>
        <v>0</v>
      </c>
    </row>
    <row r="195" spans="1:3" x14ac:dyDescent="0.35">
      <c r="A195" s="193" t="str">
        <f>$C$1&amp;".E30A.REM.CONSM.DISB.OVR3000.."</f>
        <v>xxxx.E30A.REM.CONSM.DISB.OVR3000..</v>
      </c>
      <c r="B195" s="88">
        <f>PAGE1!$K$97</f>
        <v>0</v>
      </c>
      <c r="C195" s="89">
        <f>PAGE1!$M$97</f>
        <v>0</v>
      </c>
    </row>
    <row r="196" spans="1:3" x14ac:dyDescent="0.35">
      <c r="A196" s="193" t="str">
        <f>$C$1&amp;".E30A.REM.CONSM.OS.OVR3000.."</f>
        <v>xxxx.E30A.REM.CONSM.OS.OVR3000..</v>
      </c>
      <c r="B196" s="88">
        <f>PAGE1!$O$97</f>
        <v>0</v>
      </c>
      <c r="C196" s="89">
        <f>PAGE1!$Q$97</f>
        <v>0</v>
      </c>
    </row>
    <row r="197" spans="1:3" x14ac:dyDescent="0.35">
      <c r="A197" s="196" t="str">
        <f>$C$1&amp;".E30A.REM.CONSM.APPR.TTL.."</f>
        <v>xxxx.E30A.REM.CONSM.APPR.TTL..</v>
      </c>
      <c r="B197" s="88">
        <f>PAGE1!$G$85</f>
        <v>0</v>
      </c>
      <c r="C197" s="89">
        <f>PAGE1!$I$85</f>
        <v>0</v>
      </c>
    </row>
    <row r="198" spans="1:3" x14ac:dyDescent="0.35">
      <c r="A198" s="196" t="str">
        <f>$C$1&amp;".E30A.REM.CONSM.DISB.TTL.."</f>
        <v>xxxx.E30A.REM.CONSM.DISB.TTL..</v>
      </c>
      <c r="B198" s="88">
        <f>PAGE1!$K$85</f>
        <v>0</v>
      </c>
      <c r="C198" s="89">
        <f>PAGE1!$M$85</f>
        <v>0</v>
      </c>
    </row>
    <row r="199" spans="1:3" x14ac:dyDescent="0.35">
      <c r="A199" s="196" t="str">
        <f>$C$1&amp;".E30A.REM.CONSM.OS.TTL.."</f>
        <v>xxxx.E30A.REM.CONSM.OS.TTL..</v>
      </c>
      <c r="B199" s="88">
        <f>PAGE1!$O$85</f>
        <v>0</v>
      </c>
      <c r="C199" s="89">
        <f>PAGE1!$Q$85</f>
        <v>0</v>
      </c>
    </row>
    <row r="200" spans="1:3" x14ac:dyDescent="0.35">
      <c r="A200" s="196" t="str">
        <f>$C$1&amp;".E30A.REM.APPR.AGG_TTL..."</f>
        <v>xxxx.E30A.REM.APPR.AGG_TTL...</v>
      </c>
      <c r="B200" s="88">
        <f>PAGE1!$G$99</f>
        <v>0</v>
      </c>
      <c r="C200" s="89">
        <f>PAGE1!$I$99</f>
        <v>0</v>
      </c>
    </row>
    <row r="201" spans="1:3" x14ac:dyDescent="0.35">
      <c r="A201" s="196" t="str">
        <f>$C$1&amp;".E30A.REM.DISB.AGG_TTL..."</f>
        <v>xxxx.E30A.REM.DISB.AGG_TTL...</v>
      </c>
      <c r="B201" s="88">
        <f>PAGE1!$K$99</f>
        <v>0</v>
      </c>
      <c r="C201" s="89">
        <f>PAGE1!$M$99</f>
        <v>0</v>
      </c>
    </row>
    <row r="202" spans="1:3" x14ac:dyDescent="0.35">
      <c r="A202" s="196" t="str">
        <f>$C$1&amp;".E30A.REM.OS.AGG_TTL..."</f>
        <v>xxxx.E30A.REM.OS.AGG_TTL...</v>
      </c>
      <c r="B202" s="88">
        <f>PAGE1!$O$99</f>
        <v>0</v>
      </c>
      <c r="C202" s="89">
        <f>PAGE1!$Q$99</f>
        <v>0</v>
      </c>
    </row>
    <row r="203" spans="1:3" ht="12" customHeight="1" x14ac:dyDescent="0.35">
      <c r="A203" s="195" t="s">
        <v>792</v>
      </c>
      <c r="B203" s="93" t="s">
        <v>699</v>
      </c>
      <c r="C203" s="93" t="s">
        <v>700</v>
      </c>
    </row>
    <row r="204" spans="1:3" x14ac:dyDescent="0.35">
      <c r="A204" s="193" t="str">
        <f>$C$1&amp;".E30A.REM.PBSEC._INT.0_3_PERCT.APPR."</f>
        <v>xxxx.E30A.REM.PBSEC._INT.0_3_PERCT.APPR.</v>
      </c>
      <c r="B204" s="88">
        <f>PAGE2!$G$20</f>
        <v>0</v>
      </c>
      <c r="C204" s="89">
        <f>PAGE2!$I$20</f>
        <v>0</v>
      </c>
    </row>
    <row r="205" spans="1:3" x14ac:dyDescent="0.35">
      <c r="A205" s="193" t="str">
        <f>$C$1&amp;".E30A.REM.PBSEC._INT.0_3_PERCT.OS."</f>
        <v>xxxx.E30A.REM.PBSEC._INT.0_3_PERCT.OS.</v>
      </c>
      <c r="B205" s="88">
        <f>PAGE2!$L$20</f>
        <v>0</v>
      </c>
      <c r="C205" s="89">
        <f>PAGE2!$N$20</f>
        <v>0</v>
      </c>
    </row>
    <row r="206" spans="1:3" x14ac:dyDescent="0.35">
      <c r="A206" s="193" t="str">
        <f>$C$1&amp;".E30A.REM.PBSEC._INT.3.1_4_PERCT.APPR."</f>
        <v>xxxx.E30A.REM.PBSEC._INT.3.1_4_PERCT.APPR.</v>
      </c>
      <c r="B206" s="88">
        <f>PAGE2!$G$21</f>
        <v>0</v>
      </c>
      <c r="C206" s="89">
        <f>PAGE2!$I$21</f>
        <v>0</v>
      </c>
    </row>
    <row r="207" spans="1:3" x14ac:dyDescent="0.35">
      <c r="A207" s="193" t="str">
        <f>$C$1&amp;".E30A.REM.PBSEC._INT.3.1_4_PERCT.OS."</f>
        <v>xxxx.E30A.REM.PBSEC._INT.3.1_4_PERCT.OS.</v>
      </c>
      <c r="B207" s="88">
        <f>PAGE2!$L$21</f>
        <v>0</v>
      </c>
      <c r="C207" s="89">
        <f>PAGE2!$N$21</f>
        <v>0</v>
      </c>
    </row>
    <row r="208" spans="1:3" x14ac:dyDescent="0.35">
      <c r="A208" s="193" t="str">
        <f>$C$1&amp;".E30A.REM.PBSEC._INT.4.1_5_PERCT.APPR."</f>
        <v>xxxx.E30A.REM.PBSEC._INT.4.1_5_PERCT.APPR.</v>
      </c>
      <c r="B208" s="88">
        <f>PAGE2!$G$22</f>
        <v>0</v>
      </c>
      <c r="C208" s="89">
        <f>PAGE2!$I$22</f>
        <v>0</v>
      </c>
    </row>
    <row r="209" spans="1:3" x14ac:dyDescent="0.35">
      <c r="A209" s="193" t="str">
        <f>$C$1&amp;".E30A.REM.PBSEC._INT.4.1_5_PERCT.OS."</f>
        <v>xxxx.E30A.REM.PBSEC._INT.4.1_5_PERCT.OS.</v>
      </c>
      <c r="B209" s="88">
        <f>PAGE2!$L$22</f>
        <v>0</v>
      </c>
      <c r="C209" s="89">
        <f>PAGE2!$N$22</f>
        <v>0</v>
      </c>
    </row>
    <row r="210" spans="1:3" x14ac:dyDescent="0.35">
      <c r="A210" s="193" t="str">
        <f>$C$1&amp;".E30A.REM.PBSEC._INT.5.1_6_PERCT.APPR."</f>
        <v>xxxx.E30A.REM.PBSEC._INT.5.1_6_PERCT.APPR.</v>
      </c>
      <c r="B210" s="88">
        <f>PAGE2!$G$23</f>
        <v>0</v>
      </c>
      <c r="C210" s="89">
        <f>PAGE2!$I$23</f>
        <v>0</v>
      </c>
    </row>
    <row r="211" spans="1:3" x14ac:dyDescent="0.35">
      <c r="A211" s="193" t="str">
        <f>$C$1&amp;".E30A.REM.PBSEC._INT.5.1_6_PERCT.OS."</f>
        <v>xxxx.E30A.REM.PBSEC._INT.5.1_6_PERCT.OS.</v>
      </c>
      <c r="B211" s="88">
        <f>PAGE2!$L$23</f>
        <v>0</v>
      </c>
      <c r="C211" s="89">
        <f>PAGE2!$N$23</f>
        <v>0</v>
      </c>
    </row>
    <row r="212" spans="1:3" x14ac:dyDescent="0.35">
      <c r="A212" s="193" t="str">
        <f>$C$1&amp;".E30A.REM.PBSEC._INT.6.1_7_PERCT.APPR."</f>
        <v>xxxx.E30A.REM.PBSEC._INT.6.1_7_PERCT.APPR.</v>
      </c>
      <c r="B212" s="88">
        <f>PAGE2!$G$24</f>
        <v>0</v>
      </c>
      <c r="C212" s="89">
        <f>PAGE2!$I$24</f>
        <v>0</v>
      </c>
    </row>
    <row r="213" spans="1:3" x14ac:dyDescent="0.35">
      <c r="A213" s="193" t="str">
        <f>$C$1&amp;".E30A.REM.PBSEC._INT.6.1_7_PERCT.OS."</f>
        <v>xxxx.E30A.REM.PBSEC._INT.6.1_7_PERCT.OS.</v>
      </c>
      <c r="B213" s="88">
        <f>PAGE2!$L$24</f>
        <v>0</v>
      </c>
      <c r="C213" s="89">
        <f>PAGE2!$N$24</f>
        <v>0</v>
      </c>
    </row>
    <row r="214" spans="1:3" x14ac:dyDescent="0.35">
      <c r="A214" s="193" t="str">
        <f>$C$1&amp;".E30A.REM.PBSEC._INT.7.1_8_PERCT.APPR."</f>
        <v>xxxx.E30A.REM.PBSEC._INT.7.1_8_PERCT.APPR.</v>
      </c>
      <c r="B214" s="88">
        <f>PAGE2!$G$25</f>
        <v>0</v>
      </c>
      <c r="C214" s="89">
        <f>PAGE2!$I$25</f>
        <v>0</v>
      </c>
    </row>
    <row r="215" spans="1:3" x14ac:dyDescent="0.35">
      <c r="A215" s="193" t="str">
        <f>$C$1&amp;".E30A.REM.PBSEC._INT.7.1_8_PERCT.OS."</f>
        <v>xxxx.E30A.REM.PBSEC._INT.7.1_8_PERCT.OS.</v>
      </c>
      <c r="B215" s="88">
        <f>PAGE2!$L$25</f>
        <v>0</v>
      </c>
      <c r="C215" s="89">
        <f>PAGE2!$N$25</f>
        <v>0</v>
      </c>
    </row>
    <row r="216" spans="1:3" x14ac:dyDescent="0.35">
      <c r="A216" s="193" t="str">
        <f>$C$1&amp;".E30A.REM.PBSEC._INT.8.1_9_PERCT.APPR."</f>
        <v>xxxx.E30A.REM.PBSEC._INT.8.1_9_PERCT.APPR.</v>
      </c>
      <c r="B216" s="88">
        <f>PAGE2!$G$26</f>
        <v>0</v>
      </c>
      <c r="C216" s="89">
        <f>PAGE2!$I$26</f>
        <v>0</v>
      </c>
    </row>
    <row r="217" spans="1:3" x14ac:dyDescent="0.35">
      <c r="A217" s="193" t="str">
        <f>$C$1&amp;".E30A.REM.PBSEC._INT.8.1_9_PERCT.OS."</f>
        <v>xxxx.E30A.REM.PBSEC._INT.8.1_9_PERCT.OS.</v>
      </c>
      <c r="B217" s="88">
        <f>PAGE2!$L$26</f>
        <v>0</v>
      </c>
      <c r="C217" s="89">
        <f>PAGE2!$N$26</f>
        <v>0</v>
      </c>
    </row>
    <row r="218" spans="1:3" x14ac:dyDescent="0.35">
      <c r="A218" s="193" t="str">
        <f>$C$1&amp;".E30A.REM.PBSEC._INT.9.1_10_PERCT.APPR."</f>
        <v>xxxx.E30A.REM.PBSEC._INT.9.1_10_PERCT.APPR.</v>
      </c>
      <c r="B218" s="88">
        <f>PAGE2!$G$27</f>
        <v>0</v>
      </c>
      <c r="C218" s="89">
        <f>PAGE2!$I$27</f>
        <v>0</v>
      </c>
    </row>
    <row r="219" spans="1:3" x14ac:dyDescent="0.35">
      <c r="A219" s="193" t="str">
        <f>$C$1&amp;".E30A.REM.PBSEC._INT.9.1_10_PERCT.OS."</f>
        <v>xxxx.E30A.REM.PBSEC._INT.9.1_10_PERCT.OS.</v>
      </c>
      <c r="B219" s="88">
        <f>PAGE2!$L$27</f>
        <v>0</v>
      </c>
      <c r="C219" s="89">
        <f>PAGE2!$N$27</f>
        <v>0</v>
      </c>
    </row>
    <row r="220" spans="1:3" x14ac:dyDescent="0.35">
      <c r="A220" s="193" t="str">
        <f>$C$1&amp;".E30A.REM.PBSEC._INT.10.1_11_PERCT.APPR."</f>
        <v>xxxx.E30A.REM.PBSEC._INT.10.1_11_PERCT.APPR.</v>
      </c>
      <c r="B220" s="88">
        <f>PAGE2!$G$28</f>
        <v>0</v>
      </c>
      <c r="C220" s="89">
        <f>PAGE2!$I$28</f>
        <v>0</v>
      </c>
    </row>
    <row r="221" spans="1:3" x14ac:dyDescent="0.35">
      <c r="A221" s="193" t="str">
        <f>$C$1&amp;".E30A.REM.PBSEC._INT.10.1_11_PERCT.OS."</f>
        <v>xxxx.E30A.REM.PBSEC._INT.10.1_11_PERCT.OS.</v>
      </c>
      <c r="B221" s="88">
        <f>PAGE2!$L$28</f>
        <v>0</v>
      </c>
      <c r="C221" s="89">
        <f>PAGE2!$N$28</f>
        <v>0</v>
      </c>
    </row>
    <row r="222" spans="1:3" x14ac:dyDescent="0.35">
      <c r="A222" s="193" t="str">
        <f>$C$1&amp;".E30A.REM.PBSEC._INT.11.1_12_PERCT.APPR."</f>
        <v>xxxx.E30A.REM.PBSEC._INT.11.1_12_PERCT.APPR.</v>
      </c>
      <c r="B222" s="88">
        <f>PAGE2!$G$29</f>
        <v>0</v>
      </c>
      <c r="C222" s="89">
        <f>PAGE2!$I$29</f>
        <v>0</v>
      </c>
    </row>
    <row r="223" spans="1:3" x14ac:dyDescent="0.35">
      <c r="A223" s="193" t="str">
        <f>$C$1&amp;".E30A.REM.PBSEC._INT.11.1_12_PERCT.OS."</f>
        <v>xxxx.E30A.REM.PBSEC._INT.11.1_12_PERCT.OS.</v>
      </c>
      <c r="B223" s="88">
        <f>PAGE2!$L$29</f>
        <v>0</v>
      </c>
      <c r="C223" s="89">
        <f>PAGE2!$N$29</f>
        <v>0</v>
      </c>
    </row>
    <row r="224" spans="1:3" x14ac:dyDescent="0.35">
      <c r="A224" s="193" t="str">
        <f>$C$1&amp;".E30A.REM.PBSEC._INT.12.1_13_PERCT.APPR."</f>
        <v>xxxx.E30A.REM.PBSEC._INT.12.1_13_PERCT.APPR.</v>
      </c>
      <c r="B224" s="88">
        <f>PAGE2!$G$30</f>
        <v>0</v>
      </c>
      <c r="C224" s="89">
        <f>PAGE2!$I$30</f>
        <v>0</v>
      </c>
    </row>
    <row r="225" spans="1:3" x14ac:dyDescent="0.35">
      <c r="A225" s="193" t="str">
        <f>$C$1&amp;".E30A.REM.PBSEC._INT.12.1_13_PERCT.OS."</f>
        <v>xxxx.E30A.REM.PBSEC._INT.12.1_13_PERCT.OS.</v>
      </c>
      <c r="B225" s="88">
        <f>PAGE2!$L$30</f>
        <v>0</v>
      </c>
      <c r="C225" s="89">
        <f>PAGE2!$N$30</f>
        <v>0</v>
      </c>
    </row>
    <row r="226" spans="1:3" x14ac:dyDescent="0.35">
      <c r="A226" s="193" t="str">
        <f>$C$1&amp;".E30A.REM.PBSEC._INT.13.1_14_PERCT.APPR."</f>
        <v>xxxx.E30A.REM.PBSEC._INT.13.1_14_PERCT.APPR.</v>
      </c>
      <c r="B226" s="88">
        <f>PAGE2!$G$31</f>
        <v>0</v>
      </c>
      <c r="C226" s="89">
        <f>PAGE2!$I$31</f>
        <v>0</v>
      </c>
    </row>
    <row r="227" spans="1:3" x14ac:dyDescent="0.35">
      <c r="A227" s="193" t="str">
        <f>$C$1&amp;".E30A.REM.PBSEC._INT.13.1_14_PERCT.OS."</f>
        <v>xxxx.E30A.REM.PBSEC._INT.13.1_14_PERCT.OS.</v>
      </c>
      <c r="B227" s="88">
        <f>PAGE2!$L$31</f>
        <v>0</v>
      </c>
      <c r="C227" s="89">
        <f>PAGE2!$N$31</f>
        <v>0</v>
      </c>
    </row>
    <row r="228" spans="1:3" x14ac:dyDescent="0.35">
      <c r="A228" s="193" t="str">
        <f>$C$1&amp;".E30A.REM.PBSEC._INT.14.1_15_PERCT.APPR."</f>
        <v>xxxx.E30A.REM.PBSEC._INT.14.1_15_PERCT.APPR.</v>
      </c>
      <c r="B228" s="88">
        <f>PAGE2!$G$32</f>
        <v>0</v>
      </c>
      <c r="C228" s="89">
        <f>PAGE2!$I$32</f>
        <v>0</v>
      </c>
    </row>
    <row r="229" spans="1:3" x14ac:dyDescent="0.35">
      <c r="A229" s="193" t="str">
        <f>$C$1&amp;".E30A.REM.PBSEC._INT.14.1_15_PERCT.OS."</f>
        <v>xxxx.E30A.REM.PBSEC._INT.14.1_15_PERCT.OS.</v>
      </c>
      <c r="B229" s="88">
        <f>PAGE2!$L$32</f>
        <v>0</v>
      </c>
      <c r="C229" s="89">
        <f>PAGE2!$N$32</f>
        <v>0</v>
      </c>
    </row>
    <row r="230" spans="1:3" x14ac:dyDescent="0.35">
      <c r="A230" s="193" t="str">
        <f>$C$1&amp;".E30A.REM.PBSEC._INT.OVR_15_PERCT.APPR."</f>
        <v>xxxx.E30A.REM.PBSEC._INT.OVR_15_PERCT.APPR.</v>
      </c>
      <c r="B230" s="88">
        <f>PAGE2!$G$33</f>
        <v>0</v>
      </c>
      <c r="C230" s="89">
        <f>PAGE2!$I$33</f>
        <v>0</v>
      </c>
    </row>
    <row r="231" spans="1:3" x14ac:dyDescent="0.35">
      <c r="A231" s="193" t="str">
        <f>$C$1&amp;".E30A.REM.PBSEC._INT.OVR_15_PERCT.OS."</f>
        <v>xxxx.E30A.REM.PBSEC._INT.OVR_15_PERCT.OS.</v>
      </c>
      <c r="B231" s="88">
        <f>PAGE2!$L$33</f>
        <v>0</v>
      </c>
      <c r="C231" s="89">
        <f>PAGE2!$N$33</f>
        <v>0</v>
      </c>
    </row>
    <row r="232" spans="1:3" x14ac:dyDescent="0.35">
      <c r="A232" s="193" t="str">
        <f>$C$1&amp;".E30A.REM.PVFIN._INT.0_3_PERCT.APPR."</f>
        <v>xxxx.E30A.REM.PVFIN._INT.0_3_PERCT.APPR.</v>
      </c>
      <c r="B232" s="88">
        <f>PAGE2!$G$37</f>
        <v>0</v>
      </c>
      <c r="C232" s="89">
        <f>PAGE2!$I$37</f>
        <v>0</v>
      </c>
    </row>
    <row r="233" spans="1:3" x14ac:dyDescent="0.35">
      <c r="A233" s="193" t="str">
        <f>$C$1&amp;".E30A.REM.PVFIN._INT.0_3_PERCT.OS."</f>
        <v>xxxx.E30A.REM.PVFIN._INT.0_3_PERCT.OS.</v>
      </c>
      <c r="B233" s="88">
        <f>PAGE2!$L$37</f>
        <v>0</v>
      </c>
      <c r="C233" s="89">
        <f>PAGE2!$N$37</f>
        <v>0</v>
      </c>
    </row>
    <row r="234" spans="1:3" x14ac:dyDescent="0.35">
      <c r="A234" s="193" t="str">
        <f>$C$1&amp;".E30A.REM.PVFIN._INT.3.1_4_PERCT.APPR."</f>
        <v>xxxx.E30A.REM.PVFIN._INT.3.1_4_PERCT.APPR.</v>
      </c>
      <c r="B234" s="88">
        <f>PAGE2!$G$38</f>
        <v>0</v>
      </c>
      <c r="C234" s="89">
        <f>PAGE2!$I$38</f>
        <v>0</v>
      </c>
    </row>
    <row r="235" spans="1:3" x14ac:dyDescent="0.35">
      <c r="A235" s="193" t="str">
        <f>$C$1&amp;".E30A.REM.PVFIN._INT.3.1_4_PERCT.OS."</f>
        <v>xxxx.E30A.REM.PVFIN._INT.3.1_4_PERCT.OS.</v>
      </c>
      <c r="B235" s="88">
        <f>PAGE2!$L$38</f>
        <v>0</v>
      </c>
      <c r="C235" s="89">
        <f>PAGE2!$N$38</f>
        <v>0</v>
      </c>
    </row>
    <row r="236" spans="1:3" x14ac:dyDescent="0.35">
      <c r="A236" s="193" t="str">
        <f>$C$1&amp;".E30A.REM.PVFIN._INT.4.1_5_PERCT.APPR."</f>
        <v>xxxx.E30A.REM.PVFIN._INT.4.1_5_PERCT.APPR.</v>
      </c>
      <c r="B236" s="88">
        <f>PAGE2!$G$39</f>
        <v>0</v>
      </c>
      <c r="C236" s="89">
        <f>PAGE2!$I$39</f>
        <v>0</v>
      </c>
    </row>
    <row r="237" spans="1:3" x14ac:dyDescent="0.35">
      <c r="A237" s="193" t="str">
        <f>$C$1&amp;".E30A.REM.PVFIN._INT.4.1_5_PERCT.OS."</f>
        <v>xxxx.E30A.REM.PVFIN._INT.4.1_5_PERCT.OS.</v>
      </c>
      <c r="B237" s="88">
        <f>PAGE2!$L$39</f>
        <v>0</v>
      </c>
      <c r="C237" s="89">
        <f>PAGE2!$N$39</f>
        <v>0</v>
      </c>
    </row>
    <row r="238" spans="1:3" x14ac:dyDescent="0.35">
      <c r="A238" s="193" t="str">
        <f>$C$1&amp;".E30A.REM.PVFIN._INT.5.1_6_PERCT.APPR."</f>
        <v>xxxx.E30A.REM.PVFIN._INT.5.1_6_PERCT.APPR.</v>
      </c>
      <c r="B238" s="88">
        <f>PAGE2!$G$40</f>
        <v>0</v>
      </c>
      <c r="C238" s="89">
        <f>PAGE2!$I$40</f>
        <v>0</v>
      </c>
    </row>
    <row r="239" spans="1:3" x14ac:dyDescent="0.35">
      <c r="A239" s="193" t="str">
        <f>$C$1&amp;".E30A.REM.PVFIN._INT.5.1_6_PERCT.OS."</f>
        <v>xxxx.E30A.REM.PVFIN._INT.5.1_6_PERCT.OS.</v>
      </c>
      <c r="B239" s="88">
        <f>PAGE2!$L$40</f>
        <v>0</v>
      </c>
      <c r="C239" s="89">
        <f>PAGE2!$N$40</f>
        <v>0</v>
      </c>
    </row>
    <row r="240" spans="1:3" x14ac:dyDescent="0.35">
      <c r="A240" s="193" t="str">
        <f>$C$1&amp;".E30A.REM.PVFIN._INT.6.1_7_PERCT.APPR."</f>
        <v>xxxx.E30A.REM.PVFIN._INT.6.1_7_PERCT.APPR.</v>
      </c>
      <c r="B240" s="88">
        <f>PAGE2!$G$41</f>
        <v>0</v>
      </c>
      <c r="C240" s="89">
        <f>PAGE2!$I$41</f>
        <v>0</v>
      </c>
    </row>
    <row r="241" spans="1:3" x14ac:dyDescent="0.35">
      <c r="A241" s="193" t="str">
        <f>$C$1&amp;".E30A.REM.PVFIN._INT.6.1_7_PERCT.OS."</f>
        <v>xxxx.E30A.REM.PVFIN._INT.6.1_7_PERCT.OS.</v>
      </c>
      <c r="B241" s="88">
        <f>PAGE2!$L$41</f>
        <v>0</v>
      </c>
      <c r="C241" s="89">
        <f>PAGE2!$N$41</f>
        <v>0</v>
      </c>
    </row>
    <row r="242" spans="1:3" x14ac:dyDescent="0.35">
      <c r="A242" s="193" t="str">
        <f>$C$1&amp;".E30A.REM.PVFIN._INT.7.1_8_PERCT.APPR."</f>
        <v>xxxx.E30A.REM.PVFIN._INT.7.1_8_PERCT.APPR.</v>
      </c>
      <c r="B242" s="88">
        <f>PAGE2!$G$42</f>
        <v>0</v>
      </c>
      <c r="C242" s="89">
        <f>PAGE2!$I$42</f>
        <v>0</v>
      </c>
    </row>
    <row r="243" spans="1:3" x14ac:dyDescent="0.35">
      <c r="A243" s="193" t="str">
        <f>$C$1&amp;".E30A.REM.PVFIN._INT.7.1_8_PERCT.OS."</f>
        <v>xxxx.E30A.REM.PVFIN._INT.7.1_8_PERCT.OS.</v>
      </c>
      <c r="B243" s="88">
        <f>PAGE2!$L$42</f>
        <v>0</v>
      </c>
      <c r="C243" s="89">
        <f>PAGE2!$N$42</f>
        <v>0</v>
      </c>
    </row>
    <row r="244" spans="1:3" x14ac:dyDescent="0.35">
      <c r="A244" s="193" t="str">
        <f>$C$1&amp;".E30A.REM.PVFIN._INT.8.1_9_PERCT.APPR."</f>
        <v>xxxx.E30A.REM.PVFIN._INT.8.1_9_PERCT.APPR.</v>
      </c>
      <c r="B244" s="88">
        <f>PAGE2!$G$43</f>
        <v>0</v>
      </c>
      <c r="C244" s="89">
        <f>PAGE2!$I$43</f>
        <v>0</v>
      </c>
    </row>
    <row r="245" spans="1:3" x14ac:dyDescent="0.35">
      <c r="A245" s="193" t="str">
        <f>$C$1&amp;".E30A.REM.PVFIN._INT.8.1_9_PERCT.OS."</f>
        <v>xxxx.E30A.REM.PVFIN._INT.8.1_9_PERCT.OS.</v>
      </c>
      <c r="B245" s="88">
        <f>PAGE2!$L$43</f>
        <v>0</v>
      </c>
      <c r="C245" s="89">
        <f>PAGE2!$N$43</f>
        <v>0</v>
      </c>
    </row>
    <row r="246" spans="1:3" x14ac:dyDescent="0.35">
      <c r="A246" s="193" t="str">
        <f>$C$1&amp;".E30A.REM.PVFIN._INT.9.1_10_PERCT.APPR."</f>
        <v>xxxx.E30A.REM.PVFIN._INT.9.1_10_PERCT.APPR.</v>
      </c>
      <c r="B246" s="88">
        <f>PAGE2!$G$44</f>
        <v>0</v>
      </c>
      <c r="C246" s="89">
        <f>PAGE2!$I$44</f>
        <v>0</v>
      </c>
    </row>
    <row r="247" spans="1:3" x14ac:dyDescent="0.35">
      <c r="A247" s="193" t="str">
        <f>$C$1&amp;".E30A.REM.PVFIN._INT.9.1_10_PERCT.OS."</f>
        <v>xxxx.E30A.REM.PVFIN._INT.9.1_10_PERCT.OS.</v>
      </c>
      <c r="B247" s="88">
        <f>PAGE2!$L$44</f>
        <v>0</v>
      </c>
      <c r="C247" s="89">
        <f>PAGE2!$N$44</f>
        <v>0</v>
      </c>
    </row>
    <row r="248" spans="1:3" x14ac:dyDescent="0.35">
      <c r="A248" s="193" t="str">
        <f>$C$1&amp;".E30A.REM.PVFIN._INT.10.1_11_PERCT.APPR."</f>
        <v>xxxx.E30A.REM.PVFIN._INT.10.1_11_PERCT.APPR.</v>
      </c>
      <c r="B248" s="88">
        <f>PAGE2!$G$45</f>
        <v>0</v>
      </c>
      <c r="C248" s="89">
        <f>PAGE2!$I$45</f>
        <v>0</v>
      </c>
    </row>
    <row r="249" spans="1:3" x14ac:dyDescent="0.35">
      <c r="A249" s="193" t="str">
        <f>$C$1&amp;".E30A.REM.PVFIN._INT.10.1_11_PERCT.OS."</f>
        <v>xxxx.E30A.REM.PVFIN._INT.10.1_11_PERCT.OS.</v>
      </c>
      <c r="B249" s="88">
        <f>PAGE2!$L$45</f>
        <v>0</v>
      </c>
      <c r="C249" s="89">
        <f>PAGE2!$N$45</f>
        <v>0</v>
      </c>
    </row>
    <row r="250" spans="1:3" x14ac:dyDescent="0.35">
      <c r="A250" s="193" t="str">
        <f>$C$1&amp;".E30A.REM.PVFIN._INT.11.1_12_PERCT.APPR."</f>
        <v>xxxx.E30A.REM.PVFIN._INT.11.1_12_PERCT.APPR.</v>
      </c>
      <c r="B250" s="88">
        <f>PAGE2!$G$46</f>
        <v>0</v>
      </c>
      <c r="C250" s="89">
        <f>PAGE2!$I$46</f>
        <v>0</v>
      </c>
    </row>
    <row r="251" spans="1:3" x14ac:dyDescent="0.35">
      <c r="A251" s="193" t="str">
        <f>$C$1&amp;".E30A.REM.PVFIN._INT.11.1_12_PERCT.OS."</f>
        <v>xxxx.E30A.REM.PVFIN._INT.11.1_12_PERCT.OS.</v>
      </c>
      <c r="B251" s="88">
        <f>PAGE2!$L$46</f>
        <v>0</v>
      </c>
      <c r="C251" s="89">
        <f>PAGE2!$N$46</f>
        <v>0</v>
      </c>
    </row>
    <row r="252" spans="1:3" x14ac:dyDescent="0.35">
      <c r="A252" s="193" t="str">
        <f>$C$1&amp;".E30A.REM.PVFIN._INT.12.1_13_PERCT.APPR."</f>
        <v>xxxx.E30A.REM.PVFIN._INT.12.1_13_PERCT.APPR.</v>
      </c>
      <c r="B252" s="88">
        <f>PAGE2!$G$47</f>
        <v>0</v>
      </c>
      <c r="C252" s="89">
        <f>PAGE2!$I$47</f>
        <v>0</v>
      </c>
    </row>
    <row r="253" spans="1:3" x14ac:dyDescent="0.35">
      <c r="A253" s="193" t="str">
        <f>$C$1&amp;".E30A.REM.PVFIN._INT.12.1_13_PERCT.OS."</f>
        <v>xxxx.E30A.REM.PVFIN._INT.12.1_13_PERCT.OS.</v>
      </c>
      <c r="B253" s="88">
        <f>PAGE2!$L$47</f>
        <v>0</v>
      </c>
      <c r="C253" s="89">
        <f>PAGE2!$N$47</f>
        <v>0</v>
      </c>
    </row>
    <row r="254" spans="1:3" x14ac:dyDescent="0.35">
      <c r="A254" s="193" t="str">
        <f>$C$1&amp;".E30A.REM.PVFIN._INT.13.1_14_PERCT.APPR."</f>
        <v>xxxx.E30A.REM.PVFIN._INT.13.1_14_PERCT.APPR.</v>
      </c>
      <c r="B254" s="88">
        <f>PAGE2!$G$48</f>
        <v>0</v>
      </c>
      <c r="C254" s="89">
        <f>PAGE2!$I$48</f>
        <v>0</v>
      </c>
    </row>
    <row r="255" spans="1:3" x14ac:dyDescent="0.35">
      <c r="A255" s="193" t="str">
        <f>$C$1&amp;".E30A.REM.PVFIN._INT.13.1_14_PERCT.OS."</f>
        <v>xxxx.E30A.REM.PVFIN._INT.13.1_14_PERCT.OS.</v>
      </c>
      <c r="B255" s="88">
        <f>PAGE2!$L$48</f>
        <v>0</v>
      </c>
      <c r="C255" s="89">
        <f>PAGE2!$N$48</f>
        <v>0</v>
      </c>
    </row>
    <row r="256" spans="1:3" x14ac:dyDescent="0.35">
      <c r="A256" s="193" t="str">
        <f>$C$1&amp;".E30A.REM.PVFIN._INT.14.1_15_PERCT.APPR."</f>
        <v>xxxx.E30A.REM.PVFIN._INT.14.1_15_PERCT.APPR.</v>
      </c>
      <c r="B256" s="88">
        <f>PAGE2!$G$49</f>
        <v>0</v>
      </c>
      <c r="C256" s="89">
        <f>PAGE2!$I$49</f>
        <v>0</v>
      </c>
    </row>
    <row r="257" spans="1:3" x14ac:dyDescent="0.35">
      <c r="A257" s="193" t="str">
        <f>$C$1&amp;".E30A.REM.PVFIN._INT.14.1_15_PERCT.OS."</f>
        <v>xxxx.E30A.REM.PVFIN._INT.14.1_15_PERCT.OS.</v>
      </c>
      <c r="B257" s="88">
        <f>PAGE2!$L$49</f>
        <v>0</v>
      </c>
      <c r="C257" s="89">
        <f>PAGE2!$N$49</f>
        <v>0</v>
      </c>
    </row>
    <row r="258" spans="1:3" x14ac:dyDescent="0.35">
      <c r="A258" s="193" t="str">
        <f>$C$1&amp;".E30A.REM.PVFIN._INT.OVR_15_PERCT.APPR."</f>
        <v>xxxx.E30A.REM.PVFIN._INT.OVR_15_PERCT.APPR.</v>
      </c>
      <c r="B258" s="88">
        <f>PAGE2!$G$50</f>
        <v>0</v>
      </c>
      <c r="C258" s="89">
        <f>PAGE2!$I$50</f>
        <v>0</v>
      </c>
    </row>
    <row r="259" spans="1:3" x14ac:dyDescent="0.35">
      <c r="A259" s="193" t="str">
        <f>$C$1&amp;".E30A.REM.PVFIN._INT.OVR_15_PERCT.OS."</f>
        <v>xxxx.E30A.REM.PVFIN._INT.OVR_15_PERCT.OS.</v>
      </c>
      <c r="B259" s="88">
        <f>PAGE2!$L$50</f>
        <v>0</v>
      </c>
      <c r="C259" s="89">
        <f>PAGE2!$N$50</f>
        <v>0</v>
      </c>
    </row>
    <row r="260" spans="1:3" x14ac:dyDescent="0.35">
      <c r="A260" s="193" t="str">
        <f>$C$1&amp;".E30A.REM.IBUS._INT.0_3_PERCT.APPR."</f>
        <v>xxxx.E30A.REM.IBUS._INT.0_3_PERCT.APPR.</v>
      </c>
      <c r="B260" s="88">
        <f>PAGE2!$G$54</f>
        <v>0</v>
      </c>
      <c r="C260" s="89">
        <f>PAGE2!$I$54</f>
        <v>0</v>
      </c>
    </row>
    <row r="261" spans="1:3" x14ac:dyDescent="0.35">
      <c r="A261" s="193" t="str">
        <f>$C$1&amp;".E30A.REM.IBUS._INT.0_3_PERCT.OS."</f>
        <v>xxxx.E30A.REM.IBUS._INT.0_3_PERCT.OS.</v>
      </c>
      <c r="B261" s="88">
        <f>PAGE2!$L$54</f>
        <v>0</v>
      </c>
      <c r="C261" s="89">
        <f>PAGE2!$N$54</f>
        <v>0</v>
      </c>
    </row>
    <row r="262" spans="1:3" x14ac:dyDescent="0.35">
      <c r="A262" s="193" t="str">
        <f>$C$1&amp;".E30A.REM.IBUS._INT.3.1_4_PERCT.APPR."</f>
        <v>xxxx.E30A.REM.IBUS._INT.3.1_4_PERCT.APPR.</v>
      </c>
      <c r="B262" s="88">
        <f>PAGE2!$G$55</f>
        <v>0</v>
      </c>
      <c r="C262" s="89">
        <f>PAGE2!$I$55</f>
        <v>0</v>
      </c>
    </row>
    <row r="263" spans="1:3" x14ac:dyDescent="0.35">
      <c r="A263" s="193" t="str">
        <f>$C$1&amp;".E30A.REM.IBUS._INT.3.1_4_PERCT.OS."</f>
        <v>xxxx.E30A.REM.IBUS._INT.3.1_4_PERCT.OS.</v>
      </c>
      <c r="B263" s="88">
        <f>PAGE2!$L$55</f>
        <v>0</v>
      </c>
      <c r="C263" s="89">
        <f>PAGE2!$N$55</f>
        <v>0</v>
      </c>
    </row>
    <row r="264" spans="1:3" x14ac:dyDescent="0.35">
      <c r="A264" s="193" t="str">
        <f>$C$1&amp;".E30A.REM.IBUS._INT.4.1_5_PERCT.APPR."</f>
        <v>xxxx.E30A.REM.IBUS._INT.4.1_5_PERCT.APPR.</v>
      </c>
      <c r="B264" s="88">
        <f>PAGE2!$G$56</f>
        <v>0</v>
      </c>
      <c r="C264" s="89">
        <f>PAGE2!$I$56</f>
        <v>0</v>
      </c>
    </row>
    <row r="265" spans="1:3" x14ac:dyDescent="0.35">
      <c r="A265" s="193" t="str">
        <f>$C$1&amp;".E30A.REM.IBUS._INT.4.1_5_PERCT.OS."</f>
        <v>xxxx.E30A.REM.IBUS._INT.4.1_5_PERCT.OS.</v>
      </c>
      <c r="B265" s="88">
        <f>PAGE2!$L$56</f>
        <v>0</v>
      </c>
      <c r="C265" s="89">
        <f>PAGE2!$N$56</f>
        <v>0</v>
      </c>
    </row>
    <row r="266" spans="1:3" x14ac:dyDescent="0.35">
      <c r="A266" s="193" t="str">
        <f>$C$1&amp;".E30A.REM.IBUS._INT.5.1_6_PERCT.APPR."</f>
        <v>xxxx.E30A.REM.IBUS._INT.5.1_6_PERCT.APPR.</v>
      </c>
      <c r="B266" s="88">
        <f>PAGE2!$G$57</f>
        <v>0</v>
      </c>
      <c r="C266" s="89">
        <f>PAGE2!$I$57</f>
        <v>0</v>
      </c>
    </row>
    <row r="267" spans="1:3" x14ac:dyDescent="0.35">
      <c r="A267" s="193" t="str">
        <f>$C$1&amp;".E30A.REM.IBUS._INT.5.1_6_PERCT.OS."</f>
        <v>xxxx.E30A.REM.IBUS._INT.5.1_6_PERCT.OS.</v>
      </c>
      <c r="B267" s="88">
        <f>PAGE2!$L$57</f>
        <v>0</v>
      </c>
      <c r="C267" s="89">
        <f>PAGE2!$N$57</f>
        <v>0</v>
      </c>
    </row>
    <row r="268" spans="1:3" x14ac:dyDescent="0.35">
      <c r="A268" s="193" t="str">
        <f>$C$1&amp;".E30A.REM.IBUS._INT.6.1_7_PERCT.APPR."</f>
        <v>xxxx.E30A.REM.IBUS._INT.6.1_7_PERCT.APPR.</v>
      </c>
      <c r="B268" s="88">
        <f>PAGE2!$G$58</f>
        <v>0</v>
      </c>
      <c r="C268" s="89">
        <f>PAGE2!$I$58</f>
        <v>0</v>
      </c>
    </row>
    <row r="269" spans="1:3" x14ac:dyDescent="0.35">
      <c r="A269" s="193" t="str">
        <f>$C$1&amp;".E30A.REM.IBUS._INT.6.1_7_PERCT.OS."</f>
        <v>xxxx.E30A.REM.IBUS._INT.6.1_7_PERCT.OS.</v>
      </c>
      <c r="B269" s="88">
        <f>PAGE2!$L$58</f>
        <v>0</v>
      </c>
      <c r="C269" s="89">
        <f>PAGE2!$N$58</f>
        <v>0</v>
      </c>
    </row>
    <row r="270" spans="1:3" x14ac:dyDescent="0.35">
      <c r="A270" s="193" t="str">
        <f>$C$1&amp;".E30A.REM.IBUS._INT.7.1_8_PERCT.APPR."</f>
        <v>xxxx.E30A.REM.IBUS._INT.7.1_8_PERCT.APPR.</v>
      </c>
      <c r="B270" s="88">
        <f>PAGE2!$G$59</f>
        <v>0</v>
      </c>
      <c r="C270" s="89">
        <f>PAGE2!$I$59</f>
        <v>0</v>
      </c>
    </row>
    <row r="271" spans="1:3" x14ac:dyDescent="0.35">
      <c r="A271" s="193" t="str">
        <f>$C$1&amp;".E30A.REM.IBUS._INT.7.1_8_PERCT.OS."</f>
        <v>xxxx.E30A.REM.IBUS._INT.7.1_8_PERCT.OS.</v>
      </c>
      <c r="B271" s="88">
        <f>PAGE2!$L$59</f>
        <v>0</v>
      </c>
      <c r="C271" s="89">
        <f>PAGE2!$N$59</f>
        <v>0</v>
      </c>
    </row>
    <row r="272" spans="1:3" x14ac:dyDescent="0.35">
      <c r="A272" s="193" t="str">
        <f>$C$1&amp;".E30A.REM.IBUS._INT.8.1_9_PERCT.APPR."</f>
        <v>xxxx.E30A.REM.IBUS._INT.8.1_9_PERCT.APPR.</v>
      </c>
      <c r="B272" s="88">
        <f>PAGE2!$G$60</f>
        <v>0</v>
      </c>
      <c r="C272" s="89">
        <f>PAGE2!$I$60</f>
        <v>0</v>
      </c>
    </row>
    <row r="273" spans="1:3" x14ac:dyDescent="0.35">
      <c r="A273" s="193" t="str">
        <f>$C$1&amp;".E30A.REM.IBUS._INT.8.1_9_PERCT.OS."</f>
        <v>xxxx.E30A.REM.IBUS._INT.8.1_9_PERCT.OS.</v>
      </c>
      <c r="B273" s="88">
        <f>PAGE2!$L$60</f>
        <v>0</v>
      </c>
      <c r="C273" s="89">
        <f>PAGE2!$N$60</f>
        <v>0</v>
      </c>
    </row>
    <row r="274" spans="1:3" x14ac:dyDescent="0.35">
      <c r="A274" s="193" t="str">
        <f>$C$1&amp;".E30A.REM.IBUS._INT.9.1_10_PERCT.APPR."</f>
        <v>xxxx.E30A.REM.IBUS._INT.9.1_10_PERCT.APPR.</v>
      </c>
      <c r="B274" s="88">
        <f>PAGE2!$G$61</f>
        <v>0</v>
      </c>
      <c r="C274" s="89">
        <f>PAGE2!$I$61</f>
        <v>0</v>
      </c>
    </row>
    <row r="275" spans="1:3" x14ac:dyDescent="0.35">
      <c r="A275" s="193" t="str">
        <f>$C$1&amp;".E30A.REM.IBUS._INT.9.1_10_PERCT.OS."</f>
        <v>xxxx.E30A.REM.IBUS._INT.9.1_10_PERCT.OS.</v>
      </c>
      <c r="B275" s="88">
        <f>PAGE2!$L$61</f>
        <v>0</v>
      </c>
      <c r="C275" s="89">
        <f>PAGE2!$N$61</f>
        <v>0</v>
      </c>
    </row>
    <row r="276" spans="1:3" x14ac:dyDescent="0.35">
      <c r="A276" s="193" t="str">
        <f>$C$1&amp;".E30A.REM.IBUS._INT.10.1_11_PERCT.APPR."</f>
        <v>xxxx.E30A.REM.IBUS._INT.10.1_11_PERCT.APPR.</v>
      </c>
      <c r="B276" s="88">
        <f>PAGE2!$G$62</f>
        <v>0</v>
      </c>
      <c r="C276" s="89">
        <f>PAGE2!$I$62</f>
        <v>0</v>
      </c>
    </row>
    <row r="277" spans="1:3" x14ac:dyDescent="0.35">
      <c r="A277" s="193" t="str">
        <f>$C$1&amp;".E30A.REM.IBUS._INT.10.1_11_PERCT.OS."</f>
        <v>xxxx.E30A.REM.IBUS._INT.10.1_11_PERCT.OS.</v>
      </c>
      <c r="B277" s="88">
        <f>PAGE2!$L$62</f>
        <v>0</v>
      </c>
      <c r="C277" s="89">
        <f>PAGE2!$N$62</f>
        <v>0</v>
      </c>
    </row>
    <row r="278" spans="1:3" x14ac:dyDescent="0.35">
      <c r="A278" s="193" t="str">
        <f>$C$1&amp;".E30A.REM.IBUS._INT.11.1_12_PERCT.APPR."</f>
        <v>xxxx.E30A.REM.IBUS._INT.11.1_12_PERCT.APPR.</v>
      </c>
      <c r="B278" s="88">
        <f>PAGE2!$G$63</f>
        <v>0</v>
      </c>
      <c r="C278" s="89">
        <f>PAGE2!$I$63</f>
        <v>0</v>
      </c>
    </row>
    <row r="279" spans="1:3" x14ac:dyDescent="0.35">
      <c r="A279" s="193" t="str">
        <f>$C$1&amp;".E30A.REM.IBUS._INT.11.1_12_PERCT.OS."</f>
        <v>xxxx.E30A.REM.IBUS._INT.11.1_12_PERCT.OS.</v>
      </c>
      <c r="B279" s="88">
        <f>PAGE2!$L$63</f>
        <v>0</v>
      </c>
      <c r="C279" s="89">
        <f>PAGE2!$N$63</f>
        <v>0</v>
      </c>
    </row>
    <row r="280" spans="1:3" x14ac:dyDescent="0.35">
      <c r="A280" s="193" t="str">
        <f>$C$1&amp;".E30A.REM.IBUS._INT.12.1_13_PERCT.APPR."</f>
        <v>xxxx.E30A.REM.IBUS._INT.12.1_13_PERCT.APPR.</v>
      </c>
      <c r="B280" s="88">
        <f>PAGE2!$G$64</f>
        <v>0</v>
      </c>
      <c r="C280" s="89">
        <f>PAGE2!$I$64</f>
        <v>0</v>
      </c>
    </row>
    <row r="281" spans="1:3" x14ac:dyDescent="0.35">
      <c r="A281" s="193" t="str">
        <f>$C$1&amp;".E30A.REM.IBUS._INT.12.1_13_PERCT.OS."</f>
        <v>xxxx.E30A.REM.IBUS._INT.12.1_13_PERCT.OS.</v>
      </c>
      <c r="B281" s="88">
        <f>PAGE2!$L$64</f>
        <v>0</v>
      </c>
      <c r="C281" s="89">
        <f>PAGE2!$N$64</f>
        <v>0</v>
      </c>
    </row>
    <row r="282" spans="1:3" x14ac:dyDescent="0.35">
      <c r="A282" s="193" t="str">
        <f>$C$1&amp;".E30A.REM.IBUS._INT.13.1_14_PERCT.APPR."</f>
        <v>xxxx.E30A.REM.IBUS._INT.13.1_14_PERCT.APPR.</v>
      </c>
      <c r="B282" s="88">
        <f>PAGE2!$G$65</f>
        <v>0</v>
      </c>
      <c r="C282" s="89">
        <f>PAGE2!$I$65</f>
        <v>0</v>
      </c>
    </row>
    <row r="283" spans="1:3" x14ac:dyDescent="0.35">
      <c r="A283" s="193" t="str">
        <f>$C$1&amp;".E30A.REM.IBUS._INT.13.1_14_PERCT.OS."</f>
        <v>xxxx.E30A.REM.IBUS._INT.13.1_14_PERCT.OS.</v>
      </c>
      <c r="B283" s="88">
        <f>PAGE2!$L$65</f>
        <v>0</v>
      </c>
      <c r="C283" s="89">
        <f>PAGE2!$N$65</f>
        <v>0</v>
      </c>
    </row>
    <row r="284" spans="1:3" x14ac:dyDescent="0.35">
      <c r="A284" s="193" t="str">
        <f>$C$1&amp;".E30A.REM.IBUS._INT.14.1_15_PERCT.APPR."</f>
        <v>xxxx.E30A.REM.IBUS._INT.14.1_15_PERCT.APPR.</v>
      </c>
      <c r="B284" s="88">
        <f>PAGE2!$G$66</f>
        <v>0</v>
      </c>
      <c r="C284" s="89">
        <f>PAGE2!$I$66</f>
        <v>0</v>
      </c>
    </row>
    <row r="285" spans="1:3" x14ac:dyDescent="0.35">
      <c r="A285" s="193" t="str">
        <f>$C$1&amp;".E30A.REM.IBUS._INT.14.1_15_PERCT.OS."</f>
        <v>xxxx.E30A.REM.IBUS._INT.14.1_15_PERCT.OS.</v>
      </c>
      <c r="B285" s="88">
        <f>PAGE2!$L$66</f>
        <v>0</v>
      </c>
      <c r="C285" s="89">
        <f>PAGE2!$N$66</f>
        <v>0</v>
      </c>
    </row>
    <row r="286" spans="1:3" x14ac:dyDescent="0.35">
      <c r="A286" s="193" t="str">
        <f>$C$1&amp;".E30A.REM.IBUS._INT.OVR_15_PERCT.APPR."</f>
        <v>xxxx.E30A.REM.IBUS._INT.OVR_15_PERCT.APPR.</v>
      </c>
      <c r="B286" s="88">
        <f>PAGE2!$G$67</f>
        <v>0</v>
      </c>
      <c r="C286" s="89">
        <f>PAGE2!$I$67</f>
        <v>0</v>
      </c>
    </row>
    <row r="287" spans="1:3" x14ac:dyDescent="0.35">
      <c r="A287" s="193" t="str">
        <f>$C$1&amp;".E30A.REM.IBUS._INT.OVR_15_PERCT.OS."</f>
        <v>xxxx.E30A.REM.IBUS._INT.OVR_15_PERCT.OS.</v>
      </c>
      <c r="B287" s="88">
        <f>PAGE2!$L$67</f>
        <v>0</v>
      </c>
      <c r="C287" s="89">
        <f>PAGE2!$N$67</f>
        <v>0</v>
      </c>
    </row>
    <row r="288" spans="1:3" x14ac:dyDescent="0.35">
      <c r="A288" s="193" t="str">
        <f>$C$1&amp;".E30A.REM.UIBUS._INT.0_3_PERCT.APPR."</f>
        <v>xxxx.E30A.REM.UIBUS._INT.0_3_PERCT.APPR.</v>
      </c>
      <c r="B288" s="88">
        <f>PAGE2!$G$71</f>
        <v>0</v>
      </c>
      <c r="C288" s="89">
        <f>PAGE2!$I$71</f>
        <v>0</v>
      </c>
    </row>
    <row r="289" spans="1:3" x14ac:dyDescent="0.35">
      <c r="A289" s="193" t="str">
        <f>$C$1&amp;".E30A.REM.UIBUS._INT.0_3_PERCT.OS."</f>
        <v>xxxx.E30A.REM.UIBUS._INT.0_3_PERCT.OS.</v>
      </c>
      <c r="B289" s="88">
        <f>PAGE2!$L$71</f>
        <v>0</v>
      </c>
      <c r="C289" s="89">
        <f>PAGE2!$N$71</f>
        <v>0</v>
      </c>
    </row>
    <row r="290" spans="1:3" x14ac:dyDescent="0.35">
      <c r="A290" s="193" t="str">
        <f>$C$1&amp;".E30A.REM.UIBUS._INT.3.1_4_PERCT.APPR."</f>
        <v>xxxx.E30A.REM.UIBUS._INT.3.1_4_PERCT.APPR.</v>
      </c>
      <c r="B290" s="88">
        <f>PAGE2!$G$72</f>
        <v>0</v>
      </c>
      <c r="C290" s="89">
        <f>PAGE2!$I$72</f>
        <v>0</v>
      </c>
    </row>
    <row r="291" spans="1:3" x14ac:dyDescent="0.35">
      <c r="A291" s="193" t="str">
        <f>$C$1&amp;".E30A.REM.UIBUS._INT.3.1_4_PERCT.OS."</f>
        <v>xxxx.E30A.REM.UIBUS._INT.3.1_4_PERCT.OS.</v>
      </c>
      <c r="B291" s="88">
        <f>PAGE2!$L$72</f>
        <v>0</v>
      </c>
      <c r="C291" s="89">
        <f>PAGE2!$N$72</f>
        <v>0</v>
      </c>
    </row>
    <row r="292" spans="1:3" x14ac:dyDescent="0.35">
      <c r="A292" s="193" t="str">
        <f>$C$1&amp;".E30A.REM.UIBUS._INT.4.1_5_PERCT.APPR."</f>
        <v>xxxx.E30A.REM.UIBUS._INT.4.1_5_PERCT.APPR.</v>
      </c>
      <c r="B292" s="88">
        <f>PAGE2!$G$73</f>
        <v>0</v>
      </c>
      <c r="C292" s="89">
        <f>PAGE2!$I$73</f>
        <v>0</v>
      </c>
    </row>
    <row r="293" spans="1:3" x14ac:dyDescent="0.35">
      <c r="A293" s="193" t="str">
        <f>$C$1&amp;".E30A.REM.UIBUS._INT.4.1_5_PERCT.OS."</f>
        <v>xxxx.E30A.REM.UIBUS._INT.4.1_5_PERCT.OS.</v>
      </c>
      <c r="B293" s="88">
        <f>PAGE2!$L$73</f>
        <v>0</v>
      </c>
      <c r="C293" s="89">
        <f>PAGE2!$N$73</f>
        <v>0</v>
      </c>
    </row>
    <row r="294" spans="1:3" x14ac:dyDescent="0.35">
      <c r="A294" s="193" t="str">
        <f>$C$1&amp;".E30A.REM.UIBUS._INT.5.1_6_PERCT.APPR."</f>
        <v>xxxx.E30A.REM.UIBUS._INT.5.1_6_PERCT.APPR.</v>
      </c>
      <c r="B294" s="88">
        <f>PAGE2!$G$74</f>
        <v>0</v>
      </c>
      <c r="C294" s="89">
        <f>PAGE2!$I$74</f>
        <v>0</v>
      </c>
    </row>
    <row r="295" spans="1:3" x14ac:dyDescent="0.35">
      <c r="A295" s="193" t="str">
        <f>$C$1&amp;".E30A.REM.UIBUS._INT.5.1_6_PERCT.OS."</f>
        <v>xxxx.E30A.REM.UIBUS._INT.5.1_6_PERCT.OS.</v>
      </c>
      <c r="B295" s="88">
        <f>PAGE2!$L$74</f>
        <v>0</v>
      </c>
      <c r="C295" s="89">
        <f>PAGE2!$N$74</f>
        <v>0</v>
      </c>
    </row>
    <row r="296" spans="1:3" x14ac:dyDescent="0.35">
      <c r="A296" s="193" t="str">
        <f>$C$1&amp;".E30A.REM.UIBUS._INT.6.1_7_PERCT.APPR."</f>
        <v>xxxx.E30A.REM.UIBUS._INT.6.1_7_PERCT.APPR.</v>
      </c>
      <c r="B296" s="88">
        <f>PAGE2!$G$75</f>
        <v>0</v>
      </c>
      <c r="C296" s="89">
        <f>PAGE2!$I$75</f>
        <v>0</v>
      </c>
    </row>
    <row r="297" spans="1:3" x14ac:dyDescent="0.35">
      <c r="A297" s="193" t="str">
        <f>$C$1&amp;".E30A.REM.UIBUS._INT.6.1_7_PERCT.OS."</f>
        <v>xxxx.E30A.REM.UIBUS._INT.6.1_7_PERCT.OS.</v>
      </c>
      <c r="B297" s="88">
        <f>PAGE2!$L$75</f>
        <v>0</v>
      </c>
      <c r="C297" s="89">
        <f>PAGE2!$N$75</f>
        <v>0</v>
      </c>
    </row>
    <row r="298" spans="1:3" x14ac:dyDescent="0.35">
      <c r="A298" s="193" t="str">
        <f>$C$1&amp;".E30A.REM.UIBUS._INT.7.1_8_PERCT.APPR."</f>
        <v>xxxx.E30A.REM.UIBUS._INT.7.1_8_PERCT.APPR.</v>
      </c>
      <c r="B298" s="88">
        <f>PAGE2!$G$76</f>
        <v>0</v>
      </c>
      <c r="C298" s="89">
        <f>PAGE2!$I$76</f>
        <v>0</v>
      </c>
    </row>
    <row r="299" spans="1:3" x14ac:dyDescent="0.35">
      <c r="A299" s="193" t="str">
        <f>$C$1&amp;".E30A.REM.UIBUS._INT.7.1_8_PERCT.OS."</f>
        <v>xxxx.E30A.REM.UIBUS._INT.7.1_8_PERCT.OS.</v>
      </c>
      <c r="B299" s="88">
        <f>PAGE2!$L$76</f>
        <v>0</v>
      </c>
      <c r="C299" s="89">
        <f>PAGE2!$N$76</f>
        <v>0</v>
      </c>
    </row>
    <row r="300" spans="1:3" x14ac:dyDescent="0.35">
      <c r="A300" s="193" t="str">
        <f>$C$1&amp;".E30A.REM.UIBUS._INT.8.1_9_PERCT.APPR."</f>
        <v>xxxx.E30A.REM.UIBUS._INT.8.1_9_PERCT.APPR.</v>
      </c>
      <c r="B300" s="88">
        <f>PAGE2!$G$77</f>
        <v>0</v>
      </c>
      <c r="C300" s="89">
        <f>PAGE2!$I$77</f>
        <v>0</v>
      </c>
    </row>
    <row r="301" spans="1:3" x14ac:dyDescent="0.35">
      <c r="A301" s="193" t="str">
        <f>$C$1&amp;".E30A.REM.UIBUS._INT.8.1_9_PERCT.OS."</f>
        <v>xxxx.E30A.REM.UIBUS._INT.8.1_9_PERCT.OS.</v>
      </c>
      <c r="B301" s="88">
        <f>PAGE2!$L$77</f>
        <v>0</v>
      </c>
      <c r="C301" s="89">
        <f>PAGE2!$N$77</f>
        <v>0</v>
      </c>
    </row>
    <row r="302" spans="1:3" x14ac:dyDescent="0.35">
      <c r="A302" s="193" t="str">
        <f>$C$1&amp;".E30A.REM.UIBUS._INT.9.1_10_PERCT.APPR."</f>
        <v>xxxx.E30A.REM.UIBUS._INT.9.1_10_PERCT.APPR.</v>
      </c>
      <c r="B302" s="88">
        <f>PAGE2!$G$78</f>
        <v>0</v>
      </c>
      <c r="C302" s="89">
        <f>PAGE2!$I$78</f>
        <v>0</v>
      </c>
    </row>
    <row r="303" spans="1:3" x14ac:dyDescent="0.35">
      <c r="A303" s="193" t="str">
        <f>$C$1&amp;".E30A.REM.UIBUS._INT.9.1_10_PERCT.OS."</f>
        <v>xxxx.E30A.REM.UIBUS._INT.9.1_10_PERCT.OS.</v>
      </c>
      <c r="B303" s="88">
        <f>PAGE2!$L$78</f>
        <v>0</v>
      </c>
      <c r="C303" s="89">
        <f>PAGE2!$N$78</f>
        <v>0</v>
      </c>
    </row>
    <row r="304" spans="1:3" x14ac:dyDescent="0.35">
      <c r="A304" s="193" t="str">
        <f>$C$1&amp;".E30A.REM.UIBUS._INT.10.1_11_PERCT.APPR."</f>
        <v>xxxx.E30A.REM.UIBUS._INT.10.1_11_PERCT.APPR.</v>
      </c>
      <c r="B304" s="88">
        <f>PAGE2!$G$79</f>
        <v>0</v>
      </c>
      <c r="C304" s="89">
        <f>PAGE2!$I$79</f>
        <v>0</v>
      </c>
    </row>
    <row r="305" spans="1:3" x14ac:dyDescent="0.35">
      <c r="A305" s="193" t="str">
        <f>$C$1&amp;".E30A.REM.UIBUS._INT.10.1_11_PERCT.OS."</f>
        <v>xxxx.E30A.REM.UIBUS._INT.10.1_11_PERCT.OS.</v>
      </c>
      <c r="B305" s="88">
        <f>PAGE2!$L$79</f>
        <v>0</v>
      </c>
      <c r="C305" s="89">
        <f>PAGE2!$N$79</f>
        <v>0</v>
      </c>
    </row>
    <row r="306" spans="1:3" x14ac:dyDescent="0.35">
      <c r="A306" s="193" t="str">
        <f>$C$1&amp;".E30A.REM.UIBUS._INT.11.1_12_PERCT.APPR."</f>
        <v>xxxx.E30A.REM.UIBUS._INT.11.1_12_PERCT.APPR.</v>
      </c>
      <c r="B306" s="88">
        <f>PAGE2!$G$80</f>
        <v>0</v>
      </c>
      <c r="C306" s="89">
        <f>PAGE2!$I$80</f>
        <v>0</v>
      </c>
    </row>
    <row r="307" spans="1:3" x14ac:dyDescent="0.35">
      <c r="A307" s="193" t="str">
        <f>$C$1&amp;".E30A.REM.UIBUS._INT.11.1_12_PERCT.OS."</f>
        <v>xxxx.E30A.REM.UIBUS._INT.11.1_12_PERCT.OS.</v>
      </c>
      <c r="B307" s="88">
        <f>PAGE2!$L$80</f>
        <v>0</v>
      </c>
      <c r="C307" s="89">
        <f>PAGE2!$N$80</f>
        <v>0</v>
      </c>
    </row>
    <row r="308" spans="1:3" x14ac:dyDescent="0.35">
      <c r="A308" s="193" t="str">
        <f>$C$1&amp;".E30A.REM.UIBUS._INT.12.1_13_PERCT.APPR."</f>
        <v>xxxx.E30A.REM.UIBUS._INT.12.1_13_PERCT.APPR.</v>
      </c>
      <c r="B308" s="88">
        <f>PAGE2!$G$81</f>
        <v>0</v>
      </c>
      <c r="C308" s="89">
        <f>PAGE2!$I$81</f>
        <v>0</v>
      </c>
    </row>
    <row r="309" spans="1:3" x14ac:dyDescent="0.35">
      <c r="A309" s="193" t="str">
        <f>$C$1&amp;".E30A.REM.UIBUS._INT.12.1_13_PERCT.OS."</f>
        <v>xxxx.E30A.REM.UIBUS._INT.12.1_13_PERCT.OS.</v>
      </c>
      <c r="B309" s="88">
        <f>PAGE2!$L$81</f>
        <v>0</v>
      </c>
      <c r="C309" s="89">
        <f>PAGE2!$N$81</f>
        <v>0</v>
      </c>
    </row>
    <row r="310" spans="1:3" x14ac:dyDescent="0.35">
      <c r="A310" s="193" t="str">
        <f>$C$1&amp;".E30A.REM.UIBUS._INT.13.1_14_PERCT.APPR."</f>
        <v>xxxx.E30A.REM.UIBUS._INT.13.1_14_PERCT.APPR.</v>
      </c>
      <c r="B310" s="88">
        <f>PAGE2!$G$82</f>
        <v>0</v>
      </c>
      <c r="C310" s="89">
        <f>PAGE2!$I$82</f>
        <v>0</v>
      </c>
    </row>
    <row r="311" spans="1:3" x14ac:dyDescent="0.35">
      <c r="A311" s="193" t="str">
        <f>$C$1&amp;".E30A.REM.UIBUS._INT.13.1_14_PERCT.OS."</f>
        <v>xxxx.E30A.REM.UIBUS._INT.13.1_14_PERCT.OS.</v>
      </c>
      <c r="B311" s="88">
        <f>PAGE2!$L$82</f>
        <v>0</v>
      </c>
      <c r="C311" s="89">
        <f>PAGE2!$N$82</f>
        <v>0</v>
      </c>
    </row>
    <row r="312" spans="1:3" x14ac:dyDescent="0.35">
      <c r="A312" s="193" t="str">
        <f>$C$1&amp;".E30A.REM.UIBUS._INT.14.1_15_PERCT.APPR."</f>
        <v>xxxx.E30A.REM.UIBUS._INT.14.1_15_PERCT.APPR.</v>
      </c>
      <c r="B312" s="88">
        <f>PAGE2!$G$83</f>
        <v>0</v>
      </c>
      <c r="C312" s="89">
        <f>PAGE2!$I$83</f>
        <v>0</v>
      </c>
    </row>
    <row r="313" spans="1:3" x14ac:dyDescent="0.35">
      <c r="A313" s="193" t="str">
        <f>$C$1&amp;".E30A.REM.UIBUS._INT.14.1_15_PERCT.OS."</f>
        <v>xxxx.E30A.REM.UIBUS._INT.14.1_15_PERCT.OS.</v>
      </c>
      <c r="B313" s="88">
        <f>PAGE2!$L$83</f>
        <v>0</v>
      </c>
      <c r="C313" s="89">
        <f>PAGE2!$N$83</f>
        <v>0</v>
      </c>
    </row>
    <row r="314" spans="1:3" x14ac:dyDescent="0.35">
      <c r="A314" s="193" t="str">
        <f>$C$1&amp;".E30A.REM.UIBUS._INT.OVR_15_PERCT.APPR."</f>
        <v>xxxx.E30A.REM.UIBUS._INT.OVR_15_PERCT.APPR.</v>
      </c>
      <c r="B314" s="88">
        <f>PAGE2!$G$84</f>
        <v>0</v>
      </c>
      <c r="C314" s="89">
        <f>PAGE2!$I$84</f>
        <v>0</v>
      </c>
    </row>
    <row r="315" spans="1:3" x14ac:dyDescent="0.35">
      <c r="A315" s="193" t="str">
        <f>$C$1&amp;".E30A.REM.UIBUS._INT.OVR_15_PERCT.OS."</f>
        <v>xxxx.E30A.REM.UIBUS._INT.OVR_15_PERCT.OS.</v>
      </c>
      <c r="B315" s="88">
        <f>PAGE2!$L$84</f>
        <v>0</v>
      </c>
      <c r="C315" s="89">
        <f>PAGE2!$N$84</f>
        <v>0</v>
      </c>
    </row>
    <row r="316" spans="1:3" x14ac:dyDescent="0.35">
      <c r="A316" s="193" t="str">
        <f>$C$1&amp;".E30A.REM.CONSM._INT.0_3_PERCT.APPR."</f>
        <v>xxxx.E30A.REM.CONSM._INT.0_3_PERCT.APPR.</v>
      </c>
      <c r="B316" s="88">
        <f>PAGE2!$G$87</f>
        <v>0</v>
      </c>
      <c r="C316" s="89">
        <f>PAGE2!$I$87</f>
        <v>0</v>
      </c>
    </row>
    <row r="317" spans="1:3" x14ac:dyDescent="0.35">
      <c r="A317" s="193" t="str">
        <f>$C$1&amp;".E30A.REM.CONSM._INT.0_3_PERCT.OS."</f>
        <v>xxxx.E30A.REM.CONSM._INT.0_3_PERCT.OS.</v>
      </c>
      <c r="B317" s="88">
        <f>PAGE2!$L$87</f>
        <v>0</v>
      </c>
      <c r="C317" s="89">
        <f>PAGE2!$N$87</f>
        <v>0</v>
      </c>
    </row>
    <row r="318" spans="1:3" x14ac:dyDescent="0.35">
      <c r="A318" s="193" t="str">
        <f>$C$1&amp;".E30A.REM.CONSM._INT.3.1_4_PERCT.APPR."</f>
        <v>xxxx.E30A.REM.CONSM._INT.3.1_4_PERCT.APPR.</v>
      </c>
      <c r="B318" s="88">
        <f>PAGE2!$G$88</f>
        <v>0</v>
      </c>
      <c r="C318" s="89">
        <f>PAGE2!$I$88</f>
        <v>0</v>
      </c>
    </row>
    <row r="319" spans="1:3" x14ac:dyDescent="0.35">
      <c r="A319" s="193" t="str">
        <f>$C$1&amp;".E30A.REM.CONSM._INT.3.1_4_PERCT.OS."</f>
        <v>xxxx.E30A.REM.CONSM._INT.3.1_4_PERCT.OS.</v>
      </c>
      <c r="B319" s="88">
        <f>PAGE2!$L$88</f>
        <v>0</v>
      </c>
      <c r="C319" s="89">
        <f>PAGE2!$N$88</f>
        <v>0</v>
      </c>
    </row>
    <row r="320" spans="1:3" x14ac:dyDescent="0.35">
      <c r="A320" s="193" t="str">
        <f>$C$1&amp;".E30A.REM.CONSM._INT.4.1_5_PERCT.APPR."</f>
        <v>xxxx.E30A.REM.CONSM._INT.4.1_5_PERCT.APPR.</v>
      </c>
      <c r="B320" s="88">
        <f>PAGE2!$G$89</f>
        <v>0</v>
      </c>
      <c r="C320" s="89">
        <f>PAGE2!$I$89</f>
        <v>0</v>
      </c>
    </row>
    <row r="321" spans="1:3" x14ac:dyDescent="0.35">
      <c r="A321" s="193" t="str">
        <f>$C$1&amp;".E30A.REM.CONSM._INT.4.1_5_PERCT.OS."</f>
        <v>xxxx.E30A.REM.CONSM._INT.4.1_5_PERCT.OS.</v>
      </c>
      <c r="B321" s="88">
        <f>PAGE2!$L$89</f>
        <v>0</v>
      </c>
      <c r="C321" s="89">
        <f>PAGE2!$N$89</f>
        <v>0</v>
      </c>
    </row>
    <row r="322" spans="1:3" x14ac:dyDescent="0.35">
      <c r="A322" s="193" t="str">
        <f>$C$1&amp;".E30A.REM.CONSM._INT.5.1_6_PERCT.APPR."</f>
        <v>xxxx.E30A.REM.CONSM._INT.5.1_6_PERCT.APPR.</v>
      </c>
      <c r="B322" s="88">
        <f>PAGE2!$G$90</f>
        <v>0</v>
      </c>
      <c r="C322" s="89">
        <f>PAGE2!$I$90</f>
        <v>0</v>
      </c>
    </row>
    <row r="323" spans="1:3" x14ac:dyDescent="0.35">
      <c r="A323" s="193" t="str">
        <f>$C$1&amp;".E30A.REM.CONSM._INT.5.1_6_PERCT.OS."</f>
        <v>xxxx.E30A.REM.CONSM._INT.5.1_6_PERCT.OS.</v>
      </c>
      <c r="B323" s="88">
        <f>PAGE2!$L$90</f>
        <v>0</v>
      </c>
      <c r="C323" s="89">
        <f>PAGE2!$N$90</f>
        <v>0</v>
      </c>
    </row>
    <row r="324" spans="1:3" x14ac:dyDescent="0.35">
      <c r="A324" s="193" t="str">
        <f>$C$1&amp;".E30A.REM.CONSM._INT.6.1_7_PERCT.APPR."</f>
        <v>xxxx.E30A.REM.CONSM._INT.6.1_7_PERCT.APPR.</v>
      </c>
      <c r="B324" s="88">
        <f>PAGE2!$G$91</f>
        <v>0</v>
      </c>
      <c r="C324" s="89">
        <f>PAGE2!$I$91</f>
        <v>0</v>
      </c>
    </row>
    <row r="325" spans="1:3" x14ac:dyDescent="0.35">
      <c r="A325" s="193" t="str">
        <f>$C$1&amp;".E30A.REM.CONSM._INT.6.1_7_PERCT.OS."</f>
        <v>xxxx.E30A.REM.CONSM._INT.6.1_7_PERCT.OS.</v>
      </c>
      <c r="B325" s="88">
        <f>PAGE2!$L$91</f>
        <v>0</v>
      </c>
      <c r="C325" s="89">
        <f>PAGE2!$N$91</f>
        <v>0</v>
      </c>
    </row>
    <row r="326" spans="1:3" x14ac:dyDescent="0.35">
      <c r="A326" s="193" t="str">
        <f>$C$1&amp;".E30A.REM.CONSM._INT.7.1_8_PERCT.APPR."</f>
        <v>xxxx.E30A.REM.CONSM._INT.7.1_8_PERCT.APPR.</v>
      </c>
      <c r="B326" s="88">
        <f>PAGE2!$G$92</f>
        <v>0</v>
      </c>
      <c r="C326" s="89">
        <f>PAGE2!$I$92</f>
        <v>0</v>
      </c>
    </row>
    <row r="327" spans="1:3" x14ac:dyDescent="0.35">
      <c r="A327" s="193" t="str">
        <f>$C$1&amp;".E30A.REM.CONSM._INT.7.1_8_PERCT.OS."</f>
        <v>xxxx.E30A.REM.CONSM._INT.7.1_8_PERCT.OS.</v>
      </c>
      <c r="B327" s="88">
        <f>PAGE2!$L$92</f>
        <v>0</v>
      </c>
      <c r="C327" s="89">
        <f>PAGE2!$N$92</f>
        <v>0</v>
      </c>
    </row>
    <row r="328" spans="1:3" x14ac:dyDescent="0.35">
      <c r="A328" s="193" t="str">
        <f>$C$1&amp;".E30A.REM.CONSM._INT.8.1_9_PERCT.APPR."</f>
        <v>xxxx.E30A.REM.CONSM._INT.8.1_9_PERCT.APPR.</v>
      </c>
      <c r="B328" s="88">
        <f>PAGE2!$G$93</f>
        <v>0</v>
      </c>
      <c r="C328" s="89">
        <f>PAGE2!$I$93</f>
        <v>0</v>
      </c>
    </row>
    <row r="329" spans="1:3" x14ac:dyDescent="0.35">
      <c r="A329" s="193" t="str">
        <f>$C$1&amp;".E30A.REM.CONSM._INT.8.1_9_PERCT.OS."</f>
        <v>xxxx.E30A.REM.CONSM._INT.8.1_9_PERCT.OS.</v>
      </c>
      <c r="B329" s="88">
        <f>PAGE2!$L$93</f>
        <v>0</v>
      </c>
      <c r="C329" s="89">
        <f>PAGE2!$N$93</f>
        <v>0</v>
      </c>
    </row>
    <row r="330" spans="1:3" x14ac:dyDescent="0.35">
      <c r="A330" s="193" t="str">
        <f>$C$1&amp;".E30A.REM.CONSM._INT.9.1_10_PERCT.APPR."</f>
        <v>xxxx.E30A.REM.CONSM._INT.9.1_10_PERCT.APPR.</v>
      </c>
      <c r="B330" s="88">
        <f>PAGE2!$G$94</f>
        <v>0</v>
      </c>
      <c r="C330" s="89">
        <f>PAGE2!$I$94</f>
        <v>0</v>
      </c>
    </row>
    <row r="331" spans="1:3" x14ac:dyDescent="0.35">
      <c r="A331" s="193" t="str">
        <f>$C$1&amp;".E30A.REM.CONSM._INT.9.1_10_PERCT.OS."</f>
        <v>xxxx.E30A.REM.CONSM._INT.9.1_10_PERCT.OS.</v>
      </c>
      <c r="B331" s="88">
        <f>PAGE2!$L$94</f>
        <v>0</v>
      </c>
      <c r="C331" s="89">
        <f>PAGE2!$N$94</f>
        <v>0</v>
      </c>
    </row>
    <row r="332" spans="1:3" x14ac:dyDescent="0.35">
      <c r="A332" s="193" t="str">
        <f>$C$1&amp;".E30A.REM.CONSM._INT.10.1_11_PERCT.APPR."</f>
        <v>xxxx.E30A.REM.CONSM._INT.10.1_11_PERCT.APPR.</v>
      </c>
      <c r="B332" s="88">
        <f>PAGE2!$G$95</f>
        <v>0</v>
      </c>
      <c r="C332" s="89">
        <f>PAGE2!$I$95</f>
        <v>0</v>
      </c>
    </row>
    <row r="333" spans="1:3" x14ac:dyDescent="0.35">
      <c r="A333" s="193" t="str">
        <f>$C$1&amp;".E30A.REM.CONSM._INT.10.1_11_PERCT.OS."</f>
        <v>xxxx.E30A.REM.CONSM._INT.10.1_11_PERCT.OS.</v>
      </c>
      <c r="B333" s="88">
        <f>PAGE2!$L$95</f>
        <v>0</v>
      </c>
      <c r="C333" s="89">
        <f>PAGE2!$N$95</f>
        <v>0</v>
      </c>
    </row>
    <row r="334" spans="1:3" x14ac:dyDescent="0.35">
      <c r="A334" s="193" t="str">
        <f>$C$1&amp;".E30A.REM.CONSM._INT.11.1_12_PERCT.APPR."</f>
        <v>xxxx.E30A.REM.CONSM._INT.11.1_12_PERCT.APPR.</v>
      </c>
      <c r="B334" s="88">
        <f>PAGE2!$G$96</f>
        <v>0</v>
      </c>
      <c r="C334" s="89">
        <f>PAGE2!$I$96</f>
        <v>0</v>
      </c>
    </row>
    <row r="335" spans="1:3" x14ac:dyDescent="0.35">
      <c r="A335" s="193" t="str">
        <f>$C$1&amp;".E30A.REM.CONSM._INT.11.1_12_PERCT.OS."</f>
        <v>xxxx.E30A.REM.CONSM._INT.11.1_12_PERCT.OS.</v>
      </c>
      <c r="B335" s="88">
        <f>PAGE2!$L$96</f>
        <v>0</v>
      </c>
      <c r="C335" s="89">
        <f>PAGE2!$N$96</f>
        <v>0</v>
      </c>
    </row>
    <row r="336" spans="1:3" x14ac:dyDescent="0.35">
      <c r="A336" s="193" t="str">
        <f>$C$1&amp;".E30A.REM.CONSM._INT.12.1_13_PERCT.APPR."</f>
        <v>xxxx.E30A.REM.CONSM._INT.12.1_13_PERCT.APPR.</v>
      </c>
      <c r="B336" s="88">
        <f>PAGE2!$G$97</f>
        <v>0</v>
      </c>
      <c r="C336" s="89">
        <f>PAGE2!$I$97</f>
        <v>0</v>
      </c>
    </row>
    <row r="337" spans="1:3" x14ac:dyDescent="0.35">
      <c r="A337" s="193" t="str">
        <f>$C$1&amp;".E30A.REM.CONSM._INT.12.1_13_PERCT.OS."</f>
        <v>xxxx.E30A.REM.CONSM._INT.12.1_13_PERCT.OS.</v>
      </c>
      <c r="B337" s="88">
        <f>PAGE2!$L$97</f>
        <v>0</v>
      </c>
      <c r="C337" s="89">
        <f>PAGE2!$N$97</f>
        <v>0</v>
      </c>
    </row>
    <row r="338" spans="1:3" x14ac:dyDescent="0.35">
      <c r="A338" s="193" t="str">
        <f>$C$1&amp;".E30A.REM.CONSM._INT.13.1_14_PERCT.APPR."</f>
        <v>xxxx.E30A.REM.CONSM._INT.13.1_14_PERCT.APPR.</v>
      </c>
      <c r="B338" s="88">
        <f>PAGE2!$G$98</f>
        <v>0</v>
      </c>
      <c r="C338" s="89">
        <f>PAGE2!$I$98</f>
        <v>0</v>
      </c>
    </row>
    <row r="339" spans="1:3" x14ac:dyDescent="0.35">
      <c r="A339" s="193" t="str">
        <f>$C$1&amp;".E30A.REM.CONSM._INT.13.1_14_PERCT.OS."</f>
        <v>xxxx.E30A.REM.CONSM._INT.13.1_14_PERCT.OS.</v>
      </c>
      <c r="B339" s="88">
        <f>PAGE2!$L$98</f>
        <v>0</v>
      </c>
      <c r="C339" s="89">
        <f>PAGE2!$N$98</f>
        <v>0</v>
      </c>
    </row>
    <row r="340" spans="1:3" x14ac:dyDescent="0.35">
      <c r="A340" s="193" t="str">
        <f>$C$1&amp;".E30A.REM.CONSM._INT.14.1_15_PERCT.APPR."</f>
        <v>xxxx.E30A.REM.CONSM._INT.14.1_15_PERCT.APPR.</v>
      </c>
      <c r="B340" s="88">
        <f>PAGE2!$G$99</f>
        <v>0</v>
      </c>
      <c r="C340" s="89">
        <f>PAGE2!$I$99</f>
        <v>0</v>
      </c>
    </row>
    <row r="341" spans="1:3" x14ac:dyDescent="0.35">
      <c r="A341" s="193" t="str">
        <f>$C$1&amp;".E30A.REM.CONSM._INT.14.1_15_PERCT.OS."</f>
        <v>xxxx.E30A.REM.CONSM._INT.14.1_15_PERCT.OS.</v>
      </c>
      <c r="B341" s="88">
        <f>PAGE2!$L$99</f>
        <v>0</v>
      </c>
      <c r="C341" s="89">
        <f>PAGE2!$N$99</f>
        <v>0</v>
      </c>
    </row>
    <row r="342" spans="1:3" x14ac:dyDescent="0.35">
      <c r="A342" s="193" t="str">
        <f>$C$1&amp;".E30A.REM.CONSM._INT.OVR_15.1_PERCT.APPR."</f>
        <v>xxxx.E30A.REM.CONSM._INT.OVR_15.1_PERCT.APPR.</v>
      </c>
      <c r="B342" s="88">
        <f>PAGE2!$G$100</f>
        <v>0</v>
      </c>
      <c r="C342" s="89">
        <f>PAGE2!$I$100</f>
        <v>0</v>
      </c>
    </row>
    <row r="343" spans="1:3" x14ac:dyDescent="0.35">
      <c r="A343" s="193" t="str">
        <f>$C$1&amp;".E30A.REM.CONSM._INT.OVR_15.1_PERCT.OS."</f>
        <v>xxxx.E30A.REM.CONSM._INT.OVR_15.1_PERCT.OS.</v>
      </c>
      <c r="B343" s="88">
        <f>PAGE2!$L$100</f>
        <v>0</v>
      </c>
      <c r="C343" s="89">
        <f>PAGE2!$N$100</f>
        <v>0</v>
      </c>
    </row>
    <row r="344" spans="1:3" x14ac:dyDescent="0.35">
      <c r="A344" s="193" t="str">
        <f>$C$1&amp;".E30A.REM.APPR.SEC.AGG_TTL.."</f>
        <v>xxxx.E30A.REM.APPR.SEC.AGG_TTL..</v>
      </c>
      <c r="B344" s="88">
        <f>PAGE2!$G$102</f>
        <v>0</v>
      </c>
      <c r="C344" s="89">
        <f>PAGE2!$I$102</f>
        <v>0</v>
      </c>
    </row>
    <row r="345" spans="1:3" x14ac:dyDescent="0.35">
      <c r="A345" s="193" t="str">
        <f>$C$1&amp;".E30A.REM.OS.SEC.AGG_TTL.."</f>
        <v>xxxx.E30A.REM.OS.SEC.AGG_TTL..</v>
      </c>
      <c r="B345" s="88">
        <f>PAGE2!$L$102</f>
        <v>0</v>
      </c>
      <c r="C345" s="89">
        <f>PAGE2!$N$102</f>
        <v>0</v>
      </c>
    </row>
    <row r="346" spans="1:3" x14ac:dyDescent="0.35">
      <c r="A346" s="195" t="s">
        <v>793</v>
      </c>
      <c r="B346" s="93" t="s">
        <v>699</v>
      </c>
      <c r="C346" s="93" t="s">
        <v>700</v>
      </c>
    </row>
    <row r="347" spans="1:3" x14ac:dyDescent="0.35">
      <c r="A347" s="193" t="str">
        <f>$C$1&amp;".E30A.REM.RES._INT.0_3_PERCT.DISB."</f>
        <v>xxxx.E30A.REM.RES._INT.0_3_PERCT.DISB.</v>
      </c>
      <c r="B347" s="88">
        <f>PAGE3!$G$20</f>
        <v>0</v>
      </c>
      <c r="C347" s="89">
        <f>PAGE3!$I$20</f>
        <v>0</v>
      </c>
    </row>
    <row r="348" spans="1:3" x14ac:dyDescent="0.35">
      <c r="A348" s="193" t="str">
        <f>$C$1&amp;".E30A.REM.RES._INT.0_3_PERCT.OS."</f>
        <v>xxxx.E30A.REM.RES._INT.0_3_PERCT.OS.</v>
      </c>
      <c r="B348" s="88">
        <f>PAGE3!$L$20</f>
        <v>0</v>
      </c>
      <c r="C348" s="89">
        <f>PAGE3!$N$20</f>
        <v>0</v>
      </c>
    </row>
    <row r="349" spans="1:3" x14ac:dyDescent="0.35">
      <c r="A349" s="193" t="str">
        <f>$C$1&amp;".E30A.REM.RES._INT.3.1_4_PERCT.DISB."</f>
        <v>xxxx.E30A.REM.RES._INT.3.1_4_PERCT.DISB.</v>
      </c>
      <c r="B349" s="88">
        <f>PAGE3!$G$21</f>
        <v>0</v>
      </c>
      <c r="C349" s="89">
        <f>PAGE3!$I$21</f>
        <v>0</v>
      </c>
    </row>
    <row r="350" spans="1:3" x14ac:dyDescent="0.35">
      <c r="A350" s="193" t="str">
        <f>$C$1&amp;".E30A.REM.RES._INT.3.1_4_PERCT.OS."</f>
        <v>xxxx.E30A.REM.RES._INT.3.1_4_PERCT.OS.</v>
      </c>
      <c r="B350" s="88">
        <f>PAGE3!$L$21</f>
        <v>0</v>
      </c>
      <c r="C350" s="89">
        <f>PAGE3!$N$21</f>
        <v>0</v>
      </c>
    </row>
    <row r="351" spans="1:3" x14ac:dyDescent="0.35">
      <c r="A351" s="193" t="str">
        <f>$C$1&amp;".E30A.REM.RES._INT.4.1_5_PERCT.DISB."</f>
        <v>xxxx.E30A.REM.RES._INT.4.1_5_PERCT.DISB.</v>
      </c>
      <c r="B351" s="88">
        <f>PAGE3!$G$22</f>
        <v>0</v>
      </c>
      <c r="C351" s="89">
        <f>PAGE3!$I$22</f>
        <v>0</v>
      </c>
    </row>
    <row r="352" spans="1:3" x14ac:dyDescent="0.35">
      <c r="A352" s="193" t="str">
        <f>$C$1&amp;".E30A.REM.RES._INT.4.1_5_PERCT.OS."</f>
        <v>xxxx.E30A.REM.RES._INT.4.1_5_PERCT.OS.</v>
      </c>
      <c r="B352" s="88">
        <f>PAGE3!$L$22</f>
        <v>0</v>
      </c>
      <c r="C352" s="89">
        <f>PAGE3!$N$22</f>
        <v>0</v>
      </c>
    </row>
    <row r="353" spans="1:3" x14ac:dyDescent="0.35">
      <c r="A353" s="193" t="str">
        <f>$C$1&amp;".E30A.REM.RES._INT.5.1_6_PERCT.DISB."</f>
        <v>xxxx.E30A.REM.RES._INT.5.1_6_PERCT.DISB.</v>
      </c>
      <c r="B353" s="88">
        <f>PAGE3!$G$23</f>
        <v>0</v>
      </c>
      <c r="C353" s="89">
        <f>PAGE3!$I$23</f>
        <v>0</v>
      </c>
    </row>
    <row r="354" spans="1:3" x14ac:dyDescent="0.35">
      <c r="A354" s="193" t="str">
        <f>$C$1&amp;".E30A.REM.RES._INT.5.1_6_PERCT.OS."</f>
        <v>xxxx.E30A.REM.RES._INT.5.1_6_PERCT.OS.</v>
      </c>
      <c r="B354" s="88">
        <f>PAGE3!$L$23</f>
        <v>0</v>
      </c>
      <c r="C354" s="89">
        <f>PAGE3!$N$23</f>
        <v>0</v>
      </c>
    </row>
    <row r="355" spans="1:3" x14ac:dyDescent="0.35">
      <c r="A355" s="193" t="str">
        <f>$C$1&amp;".E30A.REM.RES._INT.6.1_7_PERCT.DISB."</f>
        <v>xxxx.E30A.REM.RES._INT.6.1_7_PERCT.DISB.</v>
      </c>
      <c r="B355" s="88">
        <f>PAGE3!$G$24</f>
        <v>0</v>
      </c>
      <c r="C355" s="89">
        <f>PAGE3!$I$24</f>
        <v>0</v>
      </c>
    </row>
    <row r="356" spans="1:3" x14ac:dyDescent="0.35">
      <c r="A356" s="193" t="str">
        <f>$C$1&amp;".E30A.REM.RES._INT.6.1_7_PERCT.OS."</f>
        <v>xxxx.E30A.REM.RES._INT.6.1_7_PERCT.OS.</v>
      </c>
      <c r="B356" s="88">
        <f>PAGE3!$L$24</f>
        <v>0</v>
      </c>
      <c r="C356" s="89">
        <f>PAGE3!$N$24</f>
        <v>0</v>
      </c>
    </row>
    <row r="357" spans="1:3" x14ac:dyDescent="0.35">
      <c r="A357" s="193" t="str">
        <f>$C$1&amp;".E30A.REM.RES._INT.7.1_8_PERCT.DISB."</f>
        <v>xxxx.E30A.REM.RES._INT.7.1_8_PERCT.DISB.</v>
      </c>
      <c r="B357" s="88">
        <f>PAGE3!$G$25</f>
        <v>0</v>
      </c>
      <c r="C357" s="89">
        <f>PAGE3!$I$25</f>
        <v>0</v>
      </c>
    </row>
    <row r="358" spans="1:3" x14ac:dyDescent="0.35">
      <c r="A358" s="193" t="str">
        <f>$C$1&amp;".E30A.REM.RES._INT.7.1_8_PERCT.OS."</f>
        <v>xxxx.E30A.REM.RES._INT.7.1_8_PERCT.OS.</v>
      </c>
      <c r="B358" s="88">
        <f>PAGE3!$L$25</f>
        <v>0</v>
      </c>
      <c r="C358" s="89">
        <f>PAGE3!$N$25</f>
        <v>0</v>
      </c>
    </row>
    <row r="359" spans="1:3" x14ac:dyDescent="0.35">
      <c r="A359" s="193" t="str">
        <f>$C$1&amp;".E30A.REM.RES._INT.8.1_9_PERCT.DISB."</f>
        <v>xxxx.E30A.REM.RES._INT.8.1_9_PERCT.DISB.</v>
      </c>
      <c r="B359" s="88">
        <f>PAGE3!$G$26</f>
        <v>0</v>
      </c>
      <c r="C359" s="89">
        <f>PAGE3!$I$26</f>
        <v>0</v>
      </c>
    </row>
    <row r="360" spans="1:3" x14ac:dyDescent="0.35">
      <c r="A360" s="193" t="str">
        <f>$C$1&amp;".E30A.REM.RES._INT.8.1_9_PERCT.OS."</f>
        <v>xxxx.E30A.REM.RES._INT.8.1_9_PERCT.OS.</v>
      </c>
      <c r="B360" s="88">
        <f>PAGE3!$L$26</f>
        <v>0</v>
      </c>
      <c r="C360" s="89">
        <f>PAGE3!$N$26</f>
        <v>0</v>
      </c>
    </row>
    <row r="361" spans="1:3" x14ac:dyDescent="0.35">
      <c r="A361" s="193" t="str">
        <f>$C$1&amp;".E30A.REM.RES._INT.9.1_10_PERCT.DISB."</f>
        <v>xxxx.E30A.REM.RES._INT.9.1_10_PERCT.DISB.</v>
      </c>
      <c r="B361" s="88">
        <f>PAGE3!$G$27</f>
        <v>0</v>
      </c>
      <c r="C361" s="89">
        <f>PAGE3!$I$27</f>
        <v>0</v>
      </c>
    </row>
    <row r="362" spans="1:3" x14ac:dyDescent="0.35">
      <c r="A362" s="193" t="str">
        <f>$C$1&amp;".E30A.REM.RES._INT.9.1_10_PERCT.OS."</f>
        <v>xxxx.E30A.REM.RES._INT.9.1_10_PERCT.OS.</v>
      </c>
      <c r="B362" s="88">
        <f>PAGE3!$L$27</f>
        <v>0</v>
      </c>
      <c r="C362" s="89">
        <f>PAGE3!$N$27</f>
        <v>0</v>
      </c>
    </row>
    <row r="363" spans="1:3" x14ac:dyDescent="0.35">
      <c r="A363" s="193" t="str">
        <f>$C$1&amp;".E30A.REM.RES._INT.10.1_11_PERCT.DISB."</f>
        <v>xxxx.E30A.REM.RES._INT.10.1_11_PERCT.DISB.</v>
      </c>
      <c r="B363" s="88">
        <f>PAGE3!$G$28</f>
        <v>0</v>
      </c>
      <c r="C363" s="89">
        <f>PAGE3!$I$28</f>
        <v>0</v>
      </c>
    </row>
    <row r="364" spans="1:3" x14ac:dyDescent="0.35">
      <c r="A364" s="193" t="str">
        <f>$C$1&amp;".E30A.REM.RES._INT.10.1_11_PERCT.OS."</f>
        <v>xxxx.E30A.REM.RES._INT.10.1_11_PERCT.OS.</v>
      </c>
      <c r="B364" s="88">
        <f>PAGE3!$L$28</f>
        <v>0</v>
      </c>
      <c r="C364" s="89">
        <f>PAGE3!$N$28</f>
        <v>0</v>
      </c>
    </row>
    <row r="365" spans="1:3" x14ac:dyDescent="0.35">
      <c r="A365" s="193" t="str">
        <f>$C$1&amp;".E30A.REM.RES._INT.11.1_12_PERCT.DISB."</f>
        <v>xxxx.E30A.REM.RES._INT.11.1_12_PERCT.DISB.</v>
      </c>
      <c r="B365" s="88">
        <f>PAGE3!$G$29</f>
        <v>0</v>
      </c>
      <c r="C365" s="89">
        <f>PAGE3!$I$29</f>
        <v>0</v>
      </c>
    </row>
    <row r="366" spans="1:3" x14ac:dyDescent="0.35">
      <c r="A366" s="193" t="str">
        <f>$C$1&amp;".E30A.REM.RES._INT.11.1_12_PERCT.OS."</f>
        <v>xxxx.E30A.REM.RES._INT.11.1_12_PERCT.OS.</v>
      </c>
      <c r="B366" s="88">
        <f>PAGE3!$L$29</f>
        <v>0</v>
      </c>
      <c r="C366" s="89">
        <f>PAGE3!$N$29</f>
        <v>0</v>
      </c>
    </row>
    <row r="367" spans="1:3" x14ac:dyDescent="0.35">
      <c r="A367" s="193" t="str">
        <f>$C$1&amp;".E30A.REM.RES._INT.12.1_13_PERCT.DISB."</f>
        <v>xxxx.E30A.REM.RES._INT.12.1_13_PERCT.DISB.</v>
      </c>
      <c r="B367" s="88">
        <f>PAGE3!$G$30</f>
        <v>0</v>
      </c>
      <c r="C367" s="89">
        <f>PAGE3!$I$30</f>
        <v>0</v>
      </c>
    </row>
    <row r="368" spans="1:3" x14ac:dyDescent="0.35">
      <c r="A368" s="193" t="str">
        <f>$C$1&amp;".E30A.REM.RES._INT.12.1_13_PERCT.OS."</f>
        <v>xxxx.E30A.REM.RES._INT.12.1_13_PERCT.OS.</v>
      </c>
      <c r="B368" s="88">
        <f>PAGE3!$L$30</f>
        <v>0</v>
      </c>
      <c r="C368" s="89">
        <f>PAGE3!$N$30</f>
        <v>0</v>
      </c>
    </row>
    <row r="369" spans="1:3" x14ac:dyDescent="0.35">
      <c r="A369" s="193" t="str">
        <f>$C$1&amp;".E30A.REM.RES._INT.13.1_14_PERCT.DISB."</f>
        <v>xxxx.E30A.REM.RES._INT.13.1_14_PERCT.DISB.</v>
      </c>
      <c r="B369" s="88">
        <f>PAGE3!$G$31</f>
        <v>0</v>
      </c>
      <c r="C369" s="89">
        <f>PAGE3!$I$31</f>
        <v>0</v>
      </c>
    </row>
    <row r="370" spans="1:3" x14ac:dyDescent="0.35">
      <c r="A370" s="193" t="str">
        <f>$C$1&amp;".E30A.REM.RES._INT.13.1_14_PERCT.OS."</f>
        <v>xxxx.E30A.REM.RES._INT.13.1_14_PERCT.OS.</v>
      </c>
      <c r="B370" s="88">
        <f>PAGE3!$L$31</f>
        <v>0</v>
      </c>
      <c r="C370" s="89">
        <f>PAGE3!$N$31</f>
        <v>0</v>
      </c>
    </row>
    <row r="371" spans="1:3" x14ac:dyDescent="0.35">
      <c r="A371" s="193" t="str">
        <f>$C$1&amp;".E30A.REM.RES._INT.14.1_15_PERCT.DISB."</f>
        <v>xxxx.E30A.REM.RES._INT.14.1_15_PERCT.DISB.</v>
      </c>
      <c r="B371" s="88">
        <f>PAGE3!$G$32</f>
        <v>0</v>
      </c>
      <c r="C371" s="89">
        <f>PAGE3!$I$32</f>
        <v>0</v>
      </c>
    </row>
    <row r="372" spans="1:3" x14ac:dyDescent="0.35">
      <c r="A372" s="193" t="str">
        <f>$C$1&amp;".E30A.REM.RES._INT.14.1_15_PERCT.OS."</f>
        <v>xxxx.E30A.REM.RES._INT.14.1_15_PERCT.OS.</v>
      </c>
      <c r="B372" s="88">
        <f>PAGE3!$L$32</f>
        <v>0</v>
      </c>
      <c r="C372" s="89">
        <f>PAGE3!$N$32</f>
        <v>0</v>
      </c>
    </row>
    <row r="373" spans="1:3" x14ac:dyDescent="0.35">
      <c r="A373" s="193" t="str">
        <f>$C$1&amp;".E30A.REM.RES._INT.OVR_15_PERCT.DISB."</f>
        <v>xxxx.E30A.REM.RES._INT.OVR_15_PERCT.DISB.</v>
      </c>
      <c r="B373" s="88">
        <f>PAGE3!$G$33</f>
        <v>0</v>
      </c>
      <c r="C373" s="89">
        <f>PAGE3!$I$33</f>
        <v>0</v>
      </c>
    </row>
    <row r="374" spans="1:3" x14ac:dyDescent="0.35">
      <c r="A374" s="193" t="str">
        <f>$C$1&amp;".E30A.REM.RES._INT.OVR_15_PERCT.OS."</f>
        <v>xxxx.E30A.REM.RES._INT.OVR_15_PERCT.OS.</v>
      </c>
      <c r="B374" s="88">
        <f>PAGE3!$L$33</f>
        <v>0</v>
      </c>
      <c r="C374" s="89">
        <f>PAGE3!$N$33</f>
        <v>0</v>
      </c>
    </row>
    <row r="375" spans="1:3" x14ac:dyDescent="0.35">
      <c r="A375" s="193" t="str">
        <f>$C$1&amp;".E30A.REM.NRES._INT.0_3_PERCT.DISB."</f>
        <v>xxxx.E30A.REM.NRES._INT.0_3_PERCT.DISB.</v>
      </c>
      <c r="B375" s="88">
        <f>PAGE3!$G$38</f>
        <v>0</v>
      </c>
      <c r="C375" s="89">
        <f>PAGE3!$I$38</f>
        <v>0</v>
      </c>
    </row>
    <row r="376" spans="1:3" x14ac:dyDescent="0.35">
      <c r="A376" s="193" t="str">
        <f>$C$1&amp;".E30A.REM.NRES._INT.0_3_PERCT.OS."</f>
        <v>xxxx.E30A.REM.NRES._INT.0_3_PERCT.OS.</v>
      </c>
      <c r="B376" s="88">
        <f>PAGE3!$L$38</f>
        <v>0</v>
      </c>
      <c r="C376" s="89">
        <f>PAGE3!$N$38</f>
        <v>0</v>
      </c>
    </row>
    <row r="377" spans="1:3" x14ac:dyDescent="0.35">
      <c r="A377" s="193" t="str">
        <f>$C$1&amp;".E30A.REM.NRES._INT.3.1_4_PERCT.DISB."</f>
        <v>xxxx.E30A.REM.NRES._INT.3.1_4_PERCT.DISB.</v>
      </c>
      <c r="B377" s="88">
        <f>PAGE3!$G$39</f>
        <v>0</v>
      </c>
      <c r="C377" s="89">
        <f>PAGE3!$I$39</f>
        <v>0</v>
      </c>
    </row>
    <row r="378" spans="1:3" x14ac:dyDescent="0.35">
      <c r="A378" s="193" t="str">
        <f>$C$1&amp;".E30A.REM.NRES._INT.3.1_4_PERCT.OS."</f>
        <v>xxxx.E30A.REM.NRES._INT.3.1_4_PERCT.OS.</v>
      </c>
      <c r="B378" s="88">
        <f>PAGE3!$L$39</f>
        <v>0</v>
      </c>
      <c r="C378" s="89">
        <f>PAGE3!$N$39</f>
        <v>0</v>
      </c>
    </row>
    <row r="379" spans="1:3" x14ac:dyDescent="0.35">
      <c r="A379" s="193" t="str">
        <f>$C$1&amp;".E30A.REM.NRES._INT.4.1_5_PERCT.DISB."</f>
        <v>xxxx.E30A.REM.NRES._INT.4.1_5_PERCT.DISB.</v>
      </c>
      <c r="B379" s="88">
        <f>PAGE3!$G$40</f>
        <v>0</v>
      </c>
      <c r="C379" s="89">
        <f>PAGE3!$I$40</f>
        <v>0</v>
      </c>
    </row>
    <row r="380" spans="1:3" x14ac:dyDescent="0.35">
      <c r="A380" s="193" t="str">
        <f>$C$1&amp;".E30A.REM.NRES._INT.4.1_5_PERCT.OS."</f>
        <v>xxxx.E30A.REM.NRES._INT.4.1_5_PERCT.OS.</v>
      </c>
      <c r="B380" s="88">
        <f>PAGE3!$L$40</f>
        <v>0</v>
      </c>
      <c r="C380" s="89">
        <f>PAGE3!$N$40</f>
        <v>0</v>
      </c>
    </row>
    <row r="381" spans="1:3" x14ac:dyDescent="0.35">
      <c r="A381" s="193" t="str">
        <f>$C$1&amp;".E30A.REM.NRES._INT.5.1_6_PERCT.DISB."</f>
        <v>xxxx.E30A.REM.NRES._INT.5.1_6_PERCT.DISB.</v>
      </c>
      <c r="B381" s="88">
        <f>PAGE3!$G$41</f>
        <v>0</v>
      </c>
      <c r="C381" s="89">
        <f>PAGE3!$I$41</f>
        <v>0</v>
      </c>
    </row>
    <row r="382" spans="1:3" x14ac:dyDescent="0.35">
      <c r="A382" s="193" t="str">
        <f>$C$1&amp;".E30A.REM.NRES._INT.5.1_6_PERCT.OS."</f>
        <v>xxxx.E30A.REM.NRES._INT.5.1_6_PERCT.OS.</v>
      </c>
      <c r="B382" s="88">
        <f>PAGE3!$L$41</f>
        <v>0</v>
      </c>
      <c r="C382" s="89">
        <f>PAGE3!$N$41</f>
        <v>0</v>
      </c>
    </row>
    <row r="383" spans="1:3" x14ac:dyDescent="0.35">
      <c r="A383" s="193" t="str">
        <f>$C$1&amp;".E30A.REM.NRES._INT.6.1_7_PERCT.DISB."</f>
        <v>xxxx.E30A.REM.NRES._INT.6.1_7_PERCT.DISB.</v>
      </c>
      <c r="B383" s="88">
        <f>PAGE3!$G$42</f>
        <v>0</v>
      </c>
      <c r="C383" s="89">
        <f>PAGE3!$I$42</f>
        <v>0</v>
      </c>
    </row>
    <row r="384" spans="1:3" x14ac:dyDescent="0.35">
      <c r="A384" s="193" t="str">
        <f>$C$1&amp;".E30A.REM.NRES._INT.6.1_7_PERCT.OS."</f>
        <v>xxxx.E30A.REM.NRES._INT.6.1_7_PERCT.OS.</v>
      </c>
      <c r="B384" s="88">
        <f>PAGE3!$L$42</f>
        <v>0</v>
      </c>
      <c r="C384" s="89">
        <f>PAGE3!$N$42</f>
        <v>0</v>
      </c>
    </row>
    <row r="385" spans="1:3" x14ac:dyDescent="0.35">
      <c r="A385" s="193" t="str">
        <f>$C$1&amp;".E30A.REM.NRES._INT.7.1_8_PERCT.DISB."</f>
        <v>xxxx.E30A.REM.NRES._INT.7.1_8_PERCT.DISB.</v>
      </c>
      <c r="B385" s="88">
        <f>PAGE3!$G$43</f>
        <v>0</v>
      </c>
      <c r="C385" s="89">
        <f>PAGE3!$I$43</f>
        <v>0</v>
      </c>
    </row>
    <row r="386" spans="1:3" x14ac:dyDescent="0.35">
      <c r="A386" s="193" t="str">
        <f>$C$1&amp;".E30A.REM.NRES._INT.7.1_8_PERCT.OS."</f>
        <v>xxxx.E30A.REM.NRES._INT.7.1_8_PERCT.OS.</v>
      </c>
      <c r="B386" s="88">
        <f>PAGE3!$L$43</f>
        <v>0</v>
      </c>
      <c r="C386" s="89">
        <f>PAGE3!$N$43</f>
        <v>0</v>
      </c>
    </row>
    <row r="387" spans="1:3" x14ac:dyDescent="0.35">
      <c r="A387" s="193" t="str">
        <f>$C$1&amp;".E30A.REM.NRES._INT.8.1_9_PERCT.DISB."</f>
        <v>xxxx.E30A.REM.NRES._INT.8.1_9_PERCT.DISB.</v>
      </c>
      <c r="B387" s="88">
        <f>PAGE3!$G$44</f>
        <v>0</v>
      </c>
      <c r="C387" s="89">
        <f>PAGE3!$I$44</f>
        <v>0</v>
      </c>
    </row>
    <row r="388" spans="1:3" x14ac:dyDescent="0.35">
      <c r="A388" s="193" t="str">
        <f>$C$1&amp;".E30A.REM.NRES._INT.8.1_9_PERCT.OS."</f>
        <v>xxxx.E30A.REM.NRES._INT.8.1_9_PERCT.OS.</v>
      </c>
      <c r="B388" s="88">
        <f>PAGE3!$L$44</f>
        <v>0</v>
      </c>
      <c r="C388" s="89">
        <f>PAGE3!$N$44</f>
        <v>0</v>
      </c>
    </row>
    <row r="389" spans="1:3" x14ac:dyDescent="0.35">
      <c r="A389" s="193" t="str">
        <f>$C$1&amp;".E30A.REM.NRES._INT.9.1_10_PERCT.DISB."</f>
        <v>xxxx.E30A.REM.NRES._INT.9.1_10_PERCT.DISB.</v>
      </c>
      <c r="B389" s="88">
        <f>PAGE3!$G$45</f>
        <v>0</v>
      </c>
      <c r="C389" s="89">
        <f>PAGE3!$I$45</f>
        <v>0</v>
      </c>
    </row>
    <row r="390" spans="1:3" x14ac:dyDescent="0.35">
      <c r="A390" s="193" t="str">
        <f>$C$1&amp;".E30A.REM.NRES._INT.9.1_10_PERCT.OS."</f>
        <v>xxxx.E30A.REM.NRES._INT.9.1_10_PERCT.OS.</v>
      </c>
      <c r="B390" s="88">
        <f>PAGE3!$L$45</f>
        <v>0</v>
      </c>
      <c r="C390" s="89">
        <f>PAGE3!$N$45</f>
        <v>0</v>
      </c>
    </row>
    <row r="391" spans="1:3" x14ac:dyDescent="0.35">
      <c r="A391" s="193" t="str">
        <f>$C$1&amp;".E30A.REM.NRES._INT.10.1_11_PERCT.DISB."</f>
        <v>xxxx.E30A.REM.NRES._INT.10.1_11_PERCT.DISB.</v>
      </c>
      <c r="B391" s="88">
        <f>PAGE3!$G$46</f>
        <v>0</v>
      </c>
      <c r="C391" s="89">
        <f>PAGE3!$I$46</f>
        <v>0</v>
      </c>
    </row>
    <row r="392" spans="1:3" x14ac:dyDescent="0.35">
      <c r="A392" s="193" t="str">
        <f>$C$1&amp;".E30A.REM.NRES._INT.10.1_11_PERCT.OS."</f>
        <v>xxxx.E30A.REM.NRES._INT.10.1_11_PERCT.OS.</v>
      </c>
      <c r="B392" s="88">
        <f>PAGE3!$L$46</f>
        <v>0</v>
      </c>
      <c r="C392" s="89">
        <f>PAGE3!$N$46</f>
        <v>0</v>
      </c>
    </row>
    <row r="393" spans="1:3" x14ac:dyDescent="0.35">
      <c r="A393" s="193" t="str">
        <f>$C$1&amp;".E30A.REM.NRES._INT.11.1_12_PERCT.DISB."</f>
        <v>xxxx.E30A.REM.NRES._INT.11.1_12_PERCT.DISB.</v>
      </c>
      <c r="B393" s="88">
        <f>PAGE3!$G$47</f>
        <v>0</v>
      </c>
      <c r="C393" s="89">
        <f>PAGE3!$I$47</f>
        <v>0</v>
      </c>
    </row>
    <row r="394" spans="1:3" x14ac:dyDescent="0.35">
      <c r="A394" s="193" t="str">
        <f>$C$1&amp;".E30A.REM.NRES._INT.11.1_12_PERCT.OS."</f>
        <v>xxxx.E30A.REM.NRES._INT.11.1_12_PERCT.OS.</v>
      </c>
      <c r="B394" s="88">
        <f>PAGE3!$L$47</f>
        <v>0</v>
      </c>
      <c r="C394" s="89">
        <f>PAGE3!$N$47</f>
        <v>0</v>
      </c>
    </row>
    <row r="395" spans="1:3" x14ac:dyDescent="0.35">
      <c r="A395" s="193" t="str">
        <f>$C$1&amp;".E30A.REM.NRES._INT.12.1_13_PERCT.DISB."</f>
        <v>xxxx.E30A.REM.NRES._INT.12.1_13_PERCT.DISB.</v>
      </c>
      <c r="B395" s="88">
        <f>PAGE3!$G$48</f>
        <v>0</v>
      </c>
      <c r="C395" s="89">
        <f>PAGE3!$I$48</f>
        <v>0</v>
      </c>
    </row>
    <row r="396" spans="1:3" x14ac:dyDescent="0.35">
      <c r="A396" s="193" t="str">
        <f>$C$1&amp;".E30A.REM.NRES._INT.12.1_13_PERCT.OS."</f>
        <v>xxxx.E30A.REM.NRES._INT.12.1_13_PERCT.OS.</v>
      </c>
      <c r="B396" s="88">
        <f>PAGE3!$L$48</f>
        <v>0</v>
      </c>
      <c r="C396" s="89">
        <f>PAGE3!$N$48</f>
        <v>0</v>
      </c>
    </row>
    <row r="397" spans="1:3" x14ac:dyDescent="0.35">
      <c r="A397" s="193" t="str">
        <f>$C$1&amp;".E30A.REM.NRES._INT.13.1_14_PERCT.DISB."</f>
        <v>xxxx.E30A.REM.NRES._INT.13.1_14_PERCT.DISB.</v>
      </c>
      <c r="B397" s="88">
        <f>PAGE3!$G$49</f>
        <v>0</v>
      </c>
      <c r="C397" s="89">
        <f>PAGE3!$I$49</f>
        <v>0</v>
      </c>
    </row>
    <row r="398" spans="1:3" x14ac:dyDescent="0.35">
      <c r="A398" s="193" t="str">
        <f>$C$1&amp;".E30A.REM.NRES._INT.13.1_14_PERCT.OS."</f>
        <v>xxxx.E30A.REM.NRES._INT.13.1_14_PERCT.OS.</v>
      </c>
      <c r="B398" s="88">
        <f>PAGE3!$L$49</f>
        <v>0</v>
      </c>
      <c r="C398" s="89">
        <f>PAGE3!$N$49</f>
        <v>0</v>
      </c>
    </row>
    <row r="399" spans="1:3" x14ac:dyDescent="0.35">
      <c r="A399" s="193" t="str">
        <f>$C$1&amp;".E30A.REM.NRES._INT.14.1_15_PERCT.DISB."</f>
        <v>xxxx.E30A.REM.NRES._INT.14.1_15_PERCT.DISB.</v>
      </c>
      <c r="B399" s="88">
        <f>PAGE3!$G$50</f>
        <v>0</v>
      </c>
      <c r="C399" s="89">
        <f>PAGE3!$I$50</f>
        <v>0</v>
      </c>
    </row>
    <row r="400" spans="1:3" x14ac:dyDescent="0.35">
      <c r="A400" s="193" t="str">
        <f>$C$1&amp;".E30A.REM.NRES._INT.14.1_15_PERCT.OS."</f>
        <v>xxxx.E30A.REM.NRES._INT.14.1_15_PERCT.OS.</v>
      </c>
      <c r="B400" s="88">
        <f>PAGE3!$L$50</f>
        <v>0</v>
      </c>
      <c r="C400" s="89">
        <f>PAGE3!$N$50</f>
        <v>0</v>
      </c>
    </row>
    <row r="401" spans="1:4" x14ac:dyDescent="0.35">
      <c r="A401" s="193" t="str">
        <f>$C$1&amp;".E30A.REM.NRES._INT.OVR_15.1_PERCT.DISB."</f>
        <v>xxxx.E30A.REM.NRES._INT.OVR_15.1_PERCT.DISB.</v>
      </c>
      <c r="B401" s="88">
        <f>PAGE3!$G$51</f>
        <v>0</v>
      </c>
      <c r="C401" s="89">
        <f>PAGE3!$I$51</f>
        <v>0</v>
      </c>
    </row>
    <row r="402" spans="1:4" x14ac:dyDescent="0.35">
      <c r="A402" s="193" t="str">
        <f>$C$1&amp;".E30A.REM.NRES._INT.OVR_15.1_PERCT.OS."</f>
        <v>xxxx.E30A.REM.NRES._INT.OVR_15.1_PERCT.OS.</v>
      </c>
      <c r="B402" s="88">
        <f>PAGE3!$L$51</f>
        <v>0</v>
      </c>
      <c r="C402" s="89">
        <f>PAGE3!$N$51</f>
        <v>0</v>
      </c>
    </row>
    <row r="403" spans="1:4" x14ac:dyDescent="0.35">
      <c r="A403" s="196" t="str">
        <f>$C$1&amp;".E30A.REM.RES.DISB.TTL.."</f>
        <v>xxxx.E30A.REM.RES.DISB.TTL..</v>
      </c>
      <c r="B403" s="88">
        <f>PAGE3!$G$35</f>
        <v>0</v>
      </c>
      <c r="C403" s="89">
        <f>PAGE3!$I$35</f>
        <v>0</v>
      </c>
    </row>
    <row r="404" spans="1:4" x14ac:dyDescent="0.35">
      <c r="A404" s="196" t="str">
        <f>$C$1&amp;".E30A.REM.RES.OS.TTL.."</f>
        <v>xxxx.E30A.REM.RES.OS.TTL..</v>
      </c>
      <c r="B404" s="88">
        <f>PAGE3!$L$35</f>
        <v>0</v>
      </c>
      <c r="C404" s="89">
        <f>PAGE3!$N$35</f>
        <v>0</v>
      </c>
    </row>
    <row r="405" spans="1:4" x14ac:dyDescent="0.35">
      <c r="A405" s="196" t="str">
        <f>$C$1&amp;".E30A.REM.NRES.DISB.TTL.."</f>
        <v>xxxx.E30A.REM.NRES.DISB.TTL..</v>
      </c>
      <c r="B405" s="88">
        <f>PAGE3!$G$53</f>
        <v>0</v>
      </c>
      <c r="C405" s="89">
        <f>PAGE3!$I$53</f>
        <v>0</v>
      </c>
    </row>
    <row r="406" spans="1:4" x14ac:dyDescent="0.35">
      <c r="A406" s="196" t="str">
        <f>$C$1&amp;".E30A.REM.NRES.OS.TTL.."</f>
        <v>xxxx.E30A.REM.NRES.OS.TTL..</v>
      </c>
      <c r="B406" s="88">
        <f>PAGE3!$L$53</f>
        <v>0</v>
      </c>
      <c r="C406" s="89">
        <f>PAGE3!$N$53</f>
        <v>0</v>
      </c>
    </row>
    <row r="407" spans="1:4" x14ac:dyDescent="0.35">
      <c r="A407" s="196" t="str">
        <f>$C$1&amp;".E30A.REM.DISB.PTYPE.AGG_TTL.."</f>
        <v>xxxx.E30A.REM.DISB.PTYPE.AGG_TTL..</v>
      </c>
      <c r="B407" s="88">
        <f>PAGE3!$G$56</f>
        <v>0</v>
      </c>
      <c r="C407" s="89">
        <f>PAGE3!$I$56</f>
        <v>0</v>
      </c>
    </row>
    <row r="408" spans="1:4" x14ac:dyDescent="0.35">
      <c r="A408" s="196" t="str">
        <f>$C$1&amp;".E30A.REM.OS.PTYPE.AGG_TTL.."</f>
        <v>xxxx.E30A.REM.OS.PTYPE.AGG_TTL..</v>
      </c>
      <c r="B408" s="88">
        <f>PAGE3!$L$56</f>
        <v>0</v>
      </c>
      <c r="C408" s="89">
        <f>PAGE3!$N$56</f>
        <v>0</v>
      </c>
    </row>
    <row r="409" spans="1:4" x14ac:dyDescent="0.35">
      <c r="A409" s="195" t="s">
        <v>794</v>
      </c>
      <c r="B409" s="93" t="s">
        <v>699</v>
      </c>
      <c r="C409" s="93" t="s">
        <v>700</v>
      </c>
      <c r="D409" s="61"/>
    </row>
    <row r="410" spans="1:4" x14ac:dyDescent="0.35">
      <c r="A410" s="193" t="str">
        <f>$C$1&amp;".E30A.REM.RENOV.APPR..."</f>
        <v>xxxx.E30A.REM.RENOV.APPR...</v>
      </c>
      <c r="B410" s="88">
        <f>'PAGE4 '!$G$20</f>
        <v>0</v>
      </c>
      <c r="C410" s="89">
        <f>'PAGE4 '!$I$20</f>
        <v>0</v>
      </c>
      <c r="D410" s="61"/>
    </row>
    <row r="411" spans="1:4" x14ac:dyDescent="0.35">
      <c r="A411" s="193" t="str">
        <f>$C$1&amp;".E30A.REM.RENOV.DISB..."</f>
        <v>xxxx.E30A.REM.RENOV.DISB...</v>
      </c>
      <c r="B411" s="88">
        <f>'PAGE4 '!$K$20</f>
        <v>0</v>
      </c>
      <c r="C411" s="89">
        <f>'PAGE4 '!$M$20</f>
        <v>0</v>
      </c>
      <c r="D411" s="61"/>
    </row>
    <row r="412" spans="1:4" x14ac:dyDescent="0.35">
      <c r="A412" s="193" t="str">
        <f>$C$1&amp;".E30A.REM.RENOV.OS..."</f>
        <v>xxxx.E30A.REM.RENOV.OS...</v>
      </c>
      <c r="B412" s="88">
        <f>'PAGE4 '!$O$20</f>
        <v>0</v>
      </c>
      <c r="C412" s="89">
        <f>'PAGE4 '!$Q$20</f>
        <v>0</v>
      </c>
      <c r="D412" s="61"/>
    </row>
    <row r="413" spans="1:4" x14ac:dyDescent="0.35">
      <c r="A413" s="193" t="str">
        <f>$C$1&amp;".E30A.REM.NEW_HOUSE.APPR..."</f>
        <v>xxxx.E30A.REM.NEW_HOUSE.APPR...</v>
      </c>
      <c r="B413" s="88">
        <f>'PAGE4 '!$G$24</f>
        <v>0</v>
      </c>
      <c r="C413" s="89">
        <f>'PAGE4 '!$I$24</f>
        <v>0</v>
      </c>
      <c r="D413" s="61"/>
    </row>
    <row r="414" spans="1:4" x14ac:dyDescent="0.35">
      <c r="A414" s="193" t="str">
        <f>$C$1&amp;".E30A.REM.NEW_HOUSE.DISB..."</f>
        <v>xxxx.E30A.REM.NEW_HOUSE.DISB...</v>
      </c>
      <c r="B414" s="88">
        <f>'PAGE4 '!$K$24</f>
        <v>0</v>
      </c>
      <c r="C414" s="89">
        <f>'PAGE4 '!$M$24</f>
        <v>0</v>
      </c>
      <c r="D414" s="61"/>
    </row>
    <row r="415" spans="1:4" x14ac:dyDescent="0.35">
      <c r="A415" s="193" t="str">
        <f>$C$1&amp;".E30A.REM.NEW_HOUSE.OS..."</f>
        <v>xxxx.E30A.REM.NEW_HOUSE.OS...</v>
      </c>
      <c r="B415" s="88">
        <f>'PAGE4 '!$O$24</f>
        <v>0</v>
      </c>
      <c r="C415" s="89">
        <f>'PAGE4 '!$Q$24</f>
        <v>0</v>
      </c>
      <c r="D415" s="61"/>
    </row>
    <row r="416" spans="1:4" x14ac:dyDescent="0.35">
      <c r="A416" s="193" t="str">
        <f>$C$1&amp;".E30A.REM.EXIST_HOUSE.APPR..."</f>
        <v>xxxx.E30A.REM.EXIST_HOUSE.APPR...</v>
      </c>
      <c r="B416" s="88">
        <f>'PAGE4 '!$G$27</f>
        <v>0</v>
      </c>
      <c r="C416" s="89">
        <f>'PAGE4 '!$I$27</f>
        <v>0</v>
      </c>
      <c r="D416" s="61"/>
    </row>
    <row r="417" spans="1:4" x14ac:dyDescent="0.35">
      <c r="A417" s="193" t="str">
        <f>$C$1&amp;".E30A.REM.EXIST_HOUSE.DISB..."</f>
        <v>xxxx.E30A.REM.EXIST_HOUSE.DISB...</v>
      </c>
      <c r="B417" s="88">
        <f>'PAGE4 '!$K$27</f>
        <v>0</v>
      </c>
      <c r="C417" s="89">
        <f>'PAGE4 '!$M$27</f>
        <v>0</v>
      </c>
      <c r="D417" s="61"/>
    </row>
    <row r="418" spans="1:4" x14ac:dyDescent="0.35">
      <c r="A418" s="193" t="str">
        <f>$C$1&amp;".E30A.REM.EXIST_HOUSE.OS..."</f>
        <v>xxxx.E30A.REM.EXIST_HOUSE.OS...</v>
      </c>
      <c r="B418" s="88">
        <f>'PAGE4 '!$O$27</f>
        <v>0</v>
      </c>
      <c r="C418" s="89">
        <f>'PAGE4 '!$Q$27</f>
        <v>0</v>
      </c>
      <c r="D418" s="61"/>
    </row>
    <row r="419" spans="1:4" x14ac:dyDescent="0.35">
      <c r="A419" s="193" t="str">
        <f>$C$1&amp;".E30A.REM.LAND.APPR.."</f>
        <v>xxxx.E30A.REM.LAND.APPR..</v>
      </c>
      <c r="B419" s="88">
        <f>'PAGE4 '!$G$29</f>
        <v>0</v>
      </c>
      <c r="C419" s="89">
        <f>'PAGE4 '!$I$29</f>
        <v>0</v>
      </c>
      <c r="D419" s="61"/>
    </row>
    <row r="420" spans="1:4" x14ac:dyDescent="0.35">
      <c r="A420" s="193" t="str">
        <f>$C$1&amp;".E30A.REM.LAND.DISB..."</f>
        <v>xxxx.E30A.REM.LAND.DISB...</v>
      </c>
      <c r="B420" s="88">
        <f>'PAGE4 '!$K$29</f>
        <v>0</v>
      </c>
      <c r="C420" s="89">
        <f>'PAGE4 '!$M$29</f>
        <v>0</v>
      </c>
      <c r="D420" s="61"/>
    </row>
    <row r="421" spans="1:4" x14ac:dyDescent="0.35">
      <c r="A421" s="193" t="str">
        <f>$C$1&amp;".E30A.REM.LAND.OS.."</f>
        <v>xxxx.E30A.REM.LAND.OS..</v>
      </c>
      <c r="B421" s="88">
        <f>'PAGE4 '!$O$29</f>
        <v>0</v>
      </c>
      <c r="C421" s="89">
        <f>'PAGE4 '!$Q$29</f>
        <v>0</v>
      </c>
      <c r="D421" s="61"/>
    </row>
    <row r="422" spans="1:4" x14ac:dyDescent="0.35">
      <c r="A422" s="193" t="str">
        <f>$C$1&amp;".E30A.REM.LNS.RESCH..."</f>
        <v>xxxx.E30A.REM.LNS.RESCH...</v>
      </c>
      <c r="B422" s="88">
        <f>'PAGE4 '!$O$35</f>
        <v>0</v>
      </c>
      <c r="C422" s="89">
        <f>'PAGE4 '!$Q$35</f>
        <v>0</v>
      </c>
      <c r="D422" s="61"/>
    </row>
    <row r="423" spans="1:4" x14ac:dyDescent="0.35">
      <c r="A423" s="195" t="s">
        <v>796</v>
      </c>
      <c r="B423" s="94" t="s">
        <v>699</v>
      </c>
      <c r="C423" s="93"/>
      <c r="D423" s="61"/>
    </row>
    <row r="424" spans="1:4" x14ac:dyDescent="0.35">
      <c r="A424" s="193" t="str">
        <f>$C$1&amp;".E30A.REM.LN_APP.REC.NRES.."</f>
        <v>xxxx.E30A.REM.LN_APP.REC.NRES..</v>
      </c>
      <c r="B424" s="88">
        <f>'PAGE4 '!$C$47</f>
        <v>0</v>
      </c>
      <c r="C424" s="89"/>
      <c r="D424" s="61"/>
    </row>
    <row r="425" spans="1:4" x14ac:dyDescent="0.35">
      <c r="A425" s="193" t="str">
        <f>$C$1&amp;".E30A.REM.LN_APP.REC.RES.."</f>
        <v>xxxx.E30A.REM.LN_APP.REC.RES..</v>
      </c>
      <c r="B425" s="88">
        <f>'PAGE4 '!$C$45</f>
        <v>0</v>
      </c>
      <c r="C425" s="89"/>
      <c r="D425" s="61"/>
    </row>
    <row r="426" spans="1:4" ht="12" customHeight="1" x14ac:dyDescent="0.35">
      <c r="A426" s="195" t="s">
        <v>797</v>
      </c>
      <c r="B426" s="94" t="s">
        <v>795</v>
      </c>
      <c r="C426" s="95"/>
      <c r="D426" s="61"/>
    </row>
    <row r="427" spans="1:4" x14ac:dyDescent="0.35">
      <c r="A427" s="193" t="str">
        <f>$C$1&amp;".E30A.REM.LTV_PERCT.RES.LAND.."</f>
        <v>xxxx.E30A.REM.LTV_PERCT.RES.LAND..</v>
      </c>
      <c r="B427" s="96">
        <f>'PAGE4 '!$C$53</f>
        <v>0</v>
      </c>
      <c r="C427" s="97"/>
    </row>
    <row r="428" spans="1:4" x14ac:dyDescent="0.35">
      <c r="A428" s="193" t="str">
        <f>$C$1&amp;".E30A.REM.LTV_PERCT.RES.LAND_HOUSE.."</f>
        <v>xxxx.E30A.REM.LTV_PERCT.RES.LAND_HOUSE..</v>
      </c>
      <c r="B428" s="96">
        <f>'PAGE4 '!$I$53</f>
        <v>0</v>
      </c>
      <c r="C428" s="97"/>
    </row>
    <row r="429" spans="1:4" x14ac:dyDescent="0.35">
      <c r="A429" s="193" t="str">
        <f>$C$1&amp;".E30A.REM.LTV_PERCT.NRES.LAND.."</f>
        <v>xxxx.E30A.REM.LTV_PERCT.NRES.LAND..</v>
      </c>
      <c r="B429" s="96">
        <f>'PAGE4 '!$C$55</f>
        <v>0</v>
      </c>
      <c r="C429" s="97"/>
    </row>
    <row r="430" spans="1:4" x14ac:dyDescent="0.35">
      <c r="A430" s="193" t="str">
        <f>$C$1&amp;".E30A.REM.LTV_PERCT.NRES.LAND_BLDG.."</f>
        <v>xxxx.E30A.REM.LTV_PERCT.NRES.LAND_BLDG..</v>
      </c>
      <c r="B430" s="96">
        <f>'PAGE4 '!$I$55</f>
        <v>0</v>
      </c>
      <c r="C430" s="97"/>
    </row>
    <row r="431" spans="1:4" x14ac:dyDescent="0.35">
      <c r="A431" s="193" t="str">
        <f>$C$1&amp;".E30A.REM.LN_DISC.DISTR.FR.RES."</f>
        <v>xxxx.E30A.REM.LN_DISC.DISTR.FR.RES.</v>
      </c>
      <c r="B431" s="96">
        <f>'PAGE4 '!$I$62</f>
        <v>0</v>
      </c>
      <c r="C431" s="95"/>
    </row>
    <row r="432" spans="1:4" x14ac:dyDescent="0.35">
      <c r="A432" s="193" t="str">
        <f>$C$1&amp;".E30A.REM.LN_DISC.DISTR.VR.RES."</f>
        <v>xxxx.E30A.REM.LN_DISC.DISTR.VR.RES.</v>
      </c>
      <c r="B432" s="96">
        <f>'PAGE4 '!$I$64</f>
        <v>0</v>
      </c>
      <c r="C432" s="95"/>
    </row>
    <row r="433" spans="1:3" x14ac:dyDescent="0.35">
      <c r="A433" s="193" t="str">
        <f>$C$1&amp;".E30A.REM.LN_DISC.DISTR.AR.RES."</f>
        <v>xxxx.E30A.REM.LN_DISC.DISTR.AR.RES.</v>
      </c>
      <c r="B433" s="96">
        <f>'PAGE4 '!$I$66</f>
        <v>0</v>
      </c>
      <c r="C433" s="95"/>
    </row>
    <row r="434" spans="1:3" x14ac:dyDescent="0.35">
      <c r="A434" s="195" t="s">
        <v>798</v>
      </c>
      <c r="B434" s="93" t="s">
        <v>699</v>
      </c>
      <c r="C434" s="93" t="s">
        <v>700</v>
      </c>
    </row>
    <row r="435" spans="1:3" x14ac:dyDescent="0.35">
      <c r="A435" s="193" t="str">
        <f>$C$1&amp;".E30A.REM.FR.PBSEC.DISB._INT.0_3_PERCT."</f>
        <v>xxxx.E30A.REM.FR.PBSEC.DISB._INT.0_3_PERCT.</v>
      </c>
      <c r="B435" s="88">
        <f>PAGE5!$C$20</f>
        <v>0</v>
      </c>
      <c r="C435" s="89">
        <f>PAGE5!$E$20</f>
        <v>0</v>
      </c>
    </row>
    <row r="436" spans="1:3" x14ac:dyDescent="0.35">
      <c r="A436" s="193" t="str">
        <f>$C$1&amp;".E30A.REM.VAR.PBSEC.DISB._INT.0_3_PERCT."</f>
        <v>xxxx.E30A.REM.VAR.PBSEC.DISB._INT.0_3_PERCT.</v>
      </c>
      <c r="B436" s="88">
        <f>PAGE5!$G$20</f>
        <v>0</v>
      </c>
      <c r="C436" s="89">
        <f>PAGE5!$I$20</f>
        <v>0</v>
      </c>
    </row>
    <row r="437" spans="1:3" x14ac:dyDescent="0.35">
      <c r="A437" s="193" t="str">
        <f>$C$1&amp;".E30A.REM.ADJ.PBSEC.DISB._INT.0_3_PERCT."</f>
        <v>xxxx.E30A.REM.ADJ.PBSEC.DISB._INT.0_3_PERCT.</v>
      </c>
      <c r="B437" s="88">
        <f>PAGE5!$K$20</f>
        <v>0</v>
      </c>
      <c r="C437" s="89">
        <f>PAGE5!$M$20</f>
        <v>0</v>
      </c>
    </row>
    <row r="438" spans="1:3" x14ac:dyDescent="0.35">
      <c r="A438" s="193" t="str">
        <f>$C$1&amp;".E30A.REM.PBSEC.DISB._INT.0_3_PERCT.TTL."</f>
        <v>xxxx.E30A.REM.PBSEC.DISB._INT.0_3_PERCT.TTL.</v>
      </c>
      <c r="B438" s="88">
        <f>PAGE5!$P$20</f>
        <v>0</v>
      </c>
      <c r="C438" s="89">
        <f>PAGE5!$R$20</f>
        <v>0</v>
      </c>
    </row>
    <row r="439" spans="1:3" x14ac:dyDescent="0.35">
      <c r="A439" s="193" t="str">
        <f>$C$1&amp;".E30A.REM.FR.PBSEC.DISB._INT.3.1_4_PERCT."</f>
        <v>xxxx.E30A.REM.FR.PBSEC.DISB._INT.3.1_4_PERCT.</v>
      </c>
      <c r="B439" s="88">
        <f>PAGE5!$C$21</f>
        <v>0</v>
      </c>
      <c r="C439" s="89">
        <f>PAGE5!$E$21</f>
        <v>0</v>
      </c>
    </row>
    <row r="440" spans="1:3" x14ac:dyDescent="0.35">
      <c r="A440" s="193" t="str">
        <f>$C$1&amp;".E30A.REM.VAR.PBSEC.DISB._INT.3.1_4_PERCT."</f>
        <v>xxxx.E30A.REM.VAR.PBSEC.DISB._INT.3.1_4_PERCT.</v>
      </c>
      <c r="B440" s="88">
        <f>PAGE5!$G$21</f>
        <v>0</v>
      </c>
      <c r="C440" s="89">
        <f>PAGE5!$I$21</f>
        <v>0</v>
      </c>
    </row>
    <row r="441" spans="1:3" x14ac:dyDescent="0.35">
      <c r="A441" s="193" t="str">
        <f>$C$1&amp;".E30A.REM.ADJ.PBSEC.DISB._INT.3.1_4_PERCT."</f>
        <v>xxxx.E30A.REM.ADJ.PBSEC.DISB._INT.3.1_4_PERCT.</v>
      </c>
      <c r="B441" s="88">
        <f>PAGE5!$K$21</f>
        <v>0</v>
      </c>
      <c r="C441" s="89">
        <f>PAGE5!$M$21</f>
        <v>0</v>
      </c>
    </row>
    <row r="442" spans="1:3" x14ac:dyDescent="0.35">
      <c r="A442" s="193" t="str">
        <f>$C$1&amp;".E30A.REM.PBSEC.DISB._INT.3.1_4_PERCT.TTL."</f>
        <v>xxxx.E30A.REM.PBSEC.DISB._INT.3.1_4_PERCT.TTL.</v>
      </c>
      <c r="B442" s="88">
        <f>PAGE5!$P$21</f>
        <v>0</v>
      </c>
      <c r="C442" s="89">
        <f>PAGE5!$R$21</f>
        <v>0</v>
      </c>
    </row>
    <row r="443" spans="1:3" x14ac:dyDescent="0.35">
      <c r="A443" s="193" t="str">
        <f>$C$1&amp;".E30A.REM.FR.PBSEC.DISB._INT.4.1_5_PERCT."</f>
        <v>xxxx.E30A.REM.FR.PBSEC.DISB._INT.4.1_5_PERCT.</v>
      </c>
      <c r="B443" s="88">
        <f>PAGE5!$C$22</f>
        <v>0</v>
      </c>
      <c r="C443" s="89">
        <f>PAGE5!$E$22</f>
        <v>0</v>
      </c>
    </row>
    <row r="444" spans="1:3" x14ac:dyDescent="0.35">
      <c r="A444" s="193" t="str">
        <f>$C$1&amp;".E30A.REM.VAR.PBSEC.DISB._INT.4.1_5_PERCT."</f>
        <v>xxxx.E30A.REM.VAR.PBSEC.DISB._INT.4.1_5_PERCT.</v>
      </c>
      <c r="B444" s="88">
        <f>PAGE5!$G$22</f>
        <v>0</v>
      </c>
      <c r="C444" s="89">
        <f>PAGE5!$I$22</f>
        <v>0</v>
      </c>
    </row>
    <row r="445" spans="1:3" x14ac:dyDescent="0.35">
      <c r="A445" s="193" t="str">
        <f>$C$1&amp;".E30A.REM.ADJ.PBSEC.DISB._INT.4.1_5_PERCT."</f>
        <v>xxxx.E30A.REM.ADJ.PBSEC.DISB._INT.4.1_5_PERCT.</v>
      </c>
      <c r="B445" s="88">
        <f>PAGE5!$K$22</f>
        <v>0</v>
      </c>
      <c r="C445" s="89">
        <f>PAGE5!$M$22</f>
        <v>0</v>
      </c>
    </row>
    <row r="446" spans="1:3" x14ac:dyDescent="0.35">
      <c r="A446" s="193" t="str">
        <f>$C$1&amp;".E30A.REM.PBSEC.DISB._INT.4.1_5_PERCT.TTL."</f>
        <v>xxxx.E30A.REM.PBSEC.DISB._INT.4.1_5_PERCT.TTL.</v>
      </c>
      <c r="B446" s="88">
        <f>PAGE5!$P$22</f>
        <v>0</v>
      </c>
      <c r="C446" s="89">
        <f>PAGE5!$R$22</f>
        <v>0</v>
      </c>
    </row>
    <row r="447" spans="1:3" x14ac:dyDescent="0.35">
      <c r="A447" s="193" t="str">
        <f>$C$1&amp;".E30A.REM.FR.PBSEC.DISB._INT.5.1_6_PERCT."</f>
        <v>xxxx.E30A.REM.FR.PBSEC.DISB._INT.5.1_6_PERCT.</v>
      </c>
      <c r="B447" s="88">
        <f>PAGE5!$C$23</f>
        <v>0</v>
      </c>
      <c r="C447" s="89">
        <f>PAGE5!$E$23</f>
        <v>0</v>
      </c>
    </row>
    <row r="448" spans="1:3" x14ac:dyDescent="0.35">
      <c r="A448" s="193" t="str">
        <f>$C$1&amp;".E30A.REM.VAR.PBSEC.DISB._INT.5.1_6_PERCT."</f>
        <v>xxxx.E30A.REM.VAR.PBSEC.DISB._INT.5.1_6_PERCT.</v>
      </c>
      <c r="B448" s="88">
        <f>PAGE5!$G$23</f>
        <v>0</v>
      </c>
      <c r="C448" s="89">
        <f>PAGE5!$I$23</f>
        <v>0</v>
      </c>
    </row>
    <row r="449" spans="1:3" x14ac:dyDescent="0.35">
      <c r="A449" s="193" t="str">
        <f>$C$1&amp;".E30A.REM.ADJ.PBSEC.DISB._INT.5.1_6_PERCT."</f>
        <v>xxxx.E30A.REM.ADJ.PBSEC.DISB._INT.5.1_6_PERCT.</v>
      </c>
      <c r="B449" s="88">
        <f>PAGE5!$K$23</f>
        <v>0</v>
      </c>
      <c r="C449" s="89">
        <f>PAGE5!$M$23</f>
        <v>0</v>
      </c>
    </row>
    <row r="450" spans="1:3" x14ac:dyDescent="0.35">
      <c r="A450" s="193" t="str">
        <f>$C$1&amp;".E30A.REM.PBSEC.DISB._INT.5.1_6_PERCT.TTL."</f>
        <v>xxxx.E30A.REM.PBSEC.DISB._INT.5.1_6_PERCT.TTL.</v>
      </c>
      <c r="B450" s="88">
        <f>PAGE5!$P$23</f>
        <v>0</v>
      </c>
      <c r="C450" s="89">
        <f>PAGE5!$R$23</f>
        <v>0</v>
      </c>
    </row>
    <row r="451" spans="1:3" x14ac:dyDescent="0.35">
      <c r="A451" s="193" t="str">
        <f>$C$1&amp;".E30A.REM.FR.PBSEC.DISB._INT.6.1_7_PERCT."</f>
        <v>xxxx.E30A.REM.FR.PBSEC.DISB._INT.6.1_7_PERCT.</v>
      </c>
      <c r="B451" s="88">
        <f>PAGE5!$C$24</f>
        <v>0</v>
      </c>
      <c r="C451" s="89">
        <f>PAGE5!$E$24</f>
        <v>0</v>
      </c>
    </row>
    <row r="452" spans="1:3" x14ac:dyDescent="0.35">
      <c r="A452" s="193" t="str">
        <f>$C$1&amp;".E30A.REM.VAR.PBSEC.DISB._INT.6.1_7_PERCT."</f>
        <v>xxxx.E30A.REM.VAR.PBSEC.DISB._INT.6.1_7_PERCT.</v>
      </c>
      <c r="B452" s="88">
        <f>PAGE5!$G$24</f>
        <v>0</v>
      </c>
      <c r="C452" s="89">
        <f>PAGE5!$I$24</f>
        <v>0</v>
      </c>
    </row>
    <row r="453" spans="1:3" x14ac:dyDescent="0.35">
      <c r="A453" s="193" t="str">
        <f>$C$1&amp;".E30A.REM.ADJ.PBSEC.DISB._INT.6.1_7_PERCT."</f>
        <v>xxxx.E30A.REM.ADJ.PBSEC.DISB._INT.6.1_7_PERCT.</v>
      </c>
      <c r="B453" s="88">
        <f>PAGE5!$K$24</f>
        <v>0</v>
      </c>
      <c r="C453" s="89">
        <f>PAGE5!$M$24</f>
        <v>0</v>
      </c>
    </row>
    <row r="454" spans="1:3" x14ac:dyDescent="0.35">
      <c r="A454" s="193" t="str">
        <f>$C$1&amp;".E30A.REM.PBSEC.DISB._INT.6.1_7_PERCT.TTL."</f>
        <v>xxxx.E30A.REM.PBSEC.DISB._INT.6.1_7_PERCT.TTL.</v>
      </c>
      <c r="B454" s="88">
        <f>PAGE5!$P$24</f>
        <v>0</v>
      </c>
      <c r="C454" s="89">
        <f>PAGE5!$R$24</f>
        <v>0</v>
      </c>
    </row>
    <row r="455" spans="1:3" x14ac:dyDescent="0.35">
      <c r="A455" s="193" t="str">
        <f>$C$1&amp;".E30A.REM.FR.PBSEC.DISB._INT.7.1_8_PERCT."</f>
        <v>xxxx.E30A.REM.FR.PBSEC.DISB._INT.7.1_8_PERCT.</v>
      </c>
      <c r="B455" s="88">
        <f>PAGE5!$C$25</f>
        <v>0</v>
      </c>
      <c r="C455" s="89">
        <f>PAGE5!$E$25</f>
        <v>0</v>
      </c>
    </row>
    <row r="456" spans="1:3" x14ac:dyDescent="0.35">
      <c r="A456" s="193" t="str">
        <f>$C$1&amp;".E30A.REM.VAR.PBSEC.DISB._INT.7.1_8_PERCT."</f>
        <v>xxxx.E30A.REM.VAR.PBSEC.DISB._INT.7.1_8_PERCT.</v>
      </c>
      <c r="B456" s="88">
        <f>PAGE5!$G$25</f>
        <v>0</v>
      </c>
      <c r="C456" s="89">
        <f>PAGE5!$I$25</f>
        <v>0</v>
      </c>
    </row>
    <row r="457" spans="1:3" x14ac:dyDescent="0.35">
      <c r="A457" s="193" t="str">
        <f>$C$1&amp;".E30A.REM.ADJ.PBSEC.DISB._INT.7.1_8_PERCT."</f>
        <v>xxxx.E30A.REM.ADJ.PBSEC.DISB._INT.7.1_8_PERCT.</v>
      </c>
      <c r="B457" s="88">
        <f>PAGE5!$K$25</f>
        <v>0</v>
      </c>
      <c r="C457" s="89">
        <f>PAGE5!$M$25</f>
        <v>0</v>
      </c>
    </row>
    <row r="458" spans="1:3" x14ac:dyDescent="0.35">
      <c r="A458" s="193" t="str">
        <f>$C$1&amp;".E30A.REM.PBSEC.DISB._INT.7.1_8_PERCT.TTL."</f>
        <v>xxxx.E30A.REM.PBSEC.DISB._INT.7.1_8_PERCT.TTL.</v>
      </c>
      <c r="B458" s="88">
        <f>PAGE5!$P$25</f>
        <v>0</v>
      </c>
      <c r="C458" s="89">
        <f>PAGE5!$R$25</f>
        <v>0</v>
      </c>
    </row>
    <row r="459" spans="1:3" x14ac:dyDescent="0.35">
      <c r="A459" s="193" t="str">
        <f>$C$1&amp;".E30A.REM.FR.PBSEC.DISB._INT.8.1_9_PERCT."</f>
        <v>xxxx.E30A.REM.FR.PBSEC.DISB._INT.8.1_9_PERCT.</v>
      </c>
      <c r="B459" s="88">
        <f>PAGE5!$C$26</f>
        <v>0</v>
      </c>
      <c r="C459" s="89">
        <f>PAGE5!$E$26</f>
        <v>0</v>
      </c>
    </row>
    <row r="460" spans="1:3" x14ac:dyDescent="0.35">
      <c r="A460" s="193" t="str">
        <f>$C$1&amp;".E30A.REM.VAR.PBSEC.DISB._INT.8.1_9_PERCT."</f>
        <v>xxxx.E30A.REM.VAR.PBSEC.DISB._INT.8.1_9_PERCT.</v>
      </c>
      <c r="B460" s="88">
        <f>PAGE5!$G$26</f>
        <v>0</v>
      </c>
      <c r="C460" s="89">
        <f>PAGE5!$I$26</f>
        <v>0</v>
      </c>
    </row>
    <row r="461" spans="1:3" x14ac:dyDescent="0.35">
      <c r="A461" s="193" t="str">
        <f>$C$1&amp;".E30A.REM.ADJ.PBSEC.DISB._INT.8.1_9_PERCT."</f>
        <v>xxxx.E30A.REM.ADJ.PBSEC.DISB._INT.8.1_9_PERCT.</v>
      </c>
      <c r="B461" s="88">
        <f>PAGE5!$K$26</f>
        <v>0</v>
      </c>
      <c r="C461" s="89">
        <f>PAGE5!$M$26</f>
        <v>0</v>
      </c>
    </row>
    <row r="462" spans="1:3" x14ac:dyDescent="0.35">
      <c r="A462" s="193" t="str">
        <f>$C$1&amp;".E30A.REM.PBSEC.DISB._INT.8.1_9_PERCT.TTL."</f>
        <v>xxxx.E30A.REM.PBSEC.DISB._INT.8.1_9_PERCT.TTL.</v>
      </c>
      <c r="B462" s="88">
        <f>PAGE5!$P$26</f>
        <v>0</v>
      </c>
      <c r="C462" s="89">
        <f>PAGE5!$R$26</f>
        <v>0</v>
      </c>
    </row>
    <row r="463" spans="1:3" x14ac:dyDescent="0.35">
      <c r="A463" s="193" t="str">
        <f>$C$1&amp;".E30A.REM.FR.PBSEC.DISB._INT.9.1_10_PERCT."</f>
        <v>xxxx.E30A.REM.FR.PBSEC.DISB._INT.9.1_10_PERCT.</v>
      </c>
      <c r="B463" s="88">
        <f>PAGE5!$C$27</f>
        <v>0</v>
      </c>
      <c r="C463" s="89">
        <f>PAGE5!$E$27</f>
        <v>0</v>
      </c>
    </row>
    <row r="464" spans="1:3" x14ac:dyDescent="0.35">
      <c r="A464" s="193" t="str">
        <f>$C$1&amp;".E30A.REM.VAR.PBSEC.DISB._INT.9.1_10_PERCT."</f>
        <v>xxxx.E30A.REM.VAR.PBSEC.DISB._INT.9.1_10_PERCT.</v>
      </c>
      <c r="B464" s="88">
        <f>PAGE5!$G$27</f>
        <v>0</v>
      </c>
      <c r="C464" s="89">
        <f>PAGE5!$I$27</f>
        <v>0</v>
      </c>
    </row>
    <row r="465" spans="1:3" x14ac:dyDescent="0.35">
      <c r="A465" s="193" t="str">
        <f>$C$1&amp;".E30A.REM.ADJ.PBSEC.DISB._INT.9.1_10_PERCT."</f>
        <v>xxxx.E30A.REM.ADJ.PBSEC.DISB._INT.9.1_10_PERCT.</v>
      </c>
      <c r="B465" s="88">
        <f>PAGE5!$K$27</f>
        <v>0</v>
      </c>
      <c r="C465" s="89">
        <f>PAGE5!$M$27</f>
        <v>0</v>
      </c>
    </row>
    <row r="466" spans="1:3" x14ac:dyDescent="0.35">
      <c r="A466" s="193" t="str">
        <f>$C$1&amp;".E30A.REM.PBSEC.DISB._INT.9.1_10_PERCT.TTL."</f>
        <v>xxxx.E30A.REM.PBSEC.DISB._INT.9.1_10_PERCT.TTL.</v>
      </c>
      <c r="B466" s="88">
        <f>PAGE5!$P$27</f>
        <v>0</v>
      </c>
      <c r="C466" s="89">
        <f>PAGE5!$R$27</f>
        <v>0</v>
      </c>
    </row>
    <row r="467" spans="1:3" x14ac:dyDescent="0.35">
      <c r="A467" s="193" t="str">
        <f>$C$1&amp;".E30A.REM.FR.PBSEC.DISB._INT.10.1_11_PERCT."</f>
        <v>xxxx.E30A.REM.FR.PBSEC.DISB._INT.10.1_11_PERCT.</v>
      </c>
      <c r="B467" s="88">
        <f>PAGE5!$C$28</f>
        <v>0</v>
      </c>
      <c r="C467" s="89">
        <f>PAGE5!$E$28</f>
        <v>0</v>
      </c>
    </row>
    <row r="468" spans="1:3" x14ac:dyDescent="0.35">
      <c r="A468" s="193" t="str">
        <f>$C$1&amp;".E30A.REM.VAR.PBSEC.DISB._INT.10.1_11_PERCT."</f>
        <v>xxxx.E30A.REM.VAR.PBSEC.DISB._INT.10.1_11_PERCT.</v>
      </c>
      <c r="B468" s="88">
        <f>PAGE5!$G$28</f>
        <v>0</v>
      </c>
      <c r="C468" s="89">
        <f>PAGE5!$I$28</f>
        <v>0</v>
      </c>
    </row>
    <row r="469" spans="1:3" x14ac:dyDescent="0.35">
      <c r="A469" s="193" t="str">
        <f>$C$1&amp;".E30A.REM.ADJ.PBSEC.DISB._INT.10.1_11_PERCT."</f>
        <v>xxxx.E30A.REM.ADJ.PBSEC.DISB._INT.10.1_11_PERCT.</v>
      </c>
      <c r="B469" s="88">
        <f>PAGE5!$K$28</f>
        <v>0</v>
      </c>
      <c r="C469" s="89">
        <f>PAGE5!$M$28</f>
        <v>0</v>
      </c>
    </row>
    <row r="470" spans="1:3" x14ac:dyDescent="0.35">
      <c r="A470" s="193" t="str">
        <f>$C$1&amp;".E30A.REM.PBSEC.DISB._INT.10.1_11_PERCT.TTL."</f>
        <v>xxxx.E30A.REM.PBSEC.DISB._INT.10.1_11_PERCT.TTL.</v>
      </c>
      <c r="B470" s="88">
        <f>PAGE5!$P$28</f>
        <v>0</v>
      </c>
      <c r="C470" s="89">
        <f>PAGE5!$R$28</f>
        <v>0</v>
      </c>
    </row>
    <row r="471" spans="1:3" x14ac:dyDescent="0.35">
      <c r="A471" s="193" t="str">
        <f>$C$1&amp;".E30A.REM.FR.PBSEC.DISB._INT.11.1_12_PERCT."</f>
        <v>xxxx.E30A.REM.FR.PBSEC.DISB._INT.11.1_12_PERCT.</v>
      </c>
      <c r="B471" s="88">
        <f>PAGE5!$C$29</f>
        <v>0</v>
      </c>
      <c r="C471" s="89">
        <f>PAGE5!$E$29</f>
        <v>0</v>
      </c>
    </row>
    <row r="472" spans="1:3" x14ac:dyDescent="0.35">
      <c r="A472" s="193" t="str">
        <f>$C$1&amp;".E30A.REM.VAR.PBSEC.DISB._INT.11.1_12_PERCT."</f>
        <v>xxxx.E30A.REM.VAR.PBSEC.DISB._INT.11.1_12_PERCT.</v>
      </c>
      <c r="B472" s="88">
        <f>PAGE5!$G$29</f>
        <v>0</v>
      </c>
      <c r="C472" s="89">
        <f>PAGE5!$I$29</f>
        <v>0</v>
      </c>
    </row>
    <row r="473" spans="1:3" x14ac:dyDescent="0.35">
      <c r="A473" s="193" t="str">
        <f>$C$1&amp;".E30A.REM.ADJ.PBSEC.DISB._INT.11.1_12_PERCT."</f>
        <v>xxxx.E30A.REM.ADJ.PBSEC.DISB._INT.11.1_12_PERCT.</v>
      </c>
      <c r="B473" s="88">
        <f>PAGE5!$K$29</f>
        <v>0</v>
      </c>
      <c r="C473" s="89">
        <f>PAGE5!$M$29</f>
        <v>0</v>
      </c>
    </row>
    <row r="474" spans="1:3" x14ac:dyDescent="0.35">
      <c r="A474" s="193" t="str">
        <f>$C$1&amp;".E30A.REM.PBSEC.DISB._INT.11.1_12_PERCT.TTL."</f>
        <v>xxxx.E30A.REM.PBSEC.DISB._INT.11.1_12_PERCT.TTL.</v>
      </c>
      <c r="B474" s="88">
        <f>PAGE5!$P$29</f>
        <v>0</v>
      </c>
      <c r="C474" s="89">
        <f>PAGE5!$R$29</f>
        <v>0</v>
      </c>
    </row>
    <row r="475" spans="1:3" x14ac:dyDescent="0.35">
      <c r="A475" s="193" t="str">
        <f>$C$1&amp;".E30A.REM.FR.PBSEC.DISB._INT.12.1_13_PERCT."</f>
        <v>xxxx.E30A.REM.FR.PBSEC.DISB._INT.12.1_13_PERCT.</v>
      </c>
      <c r="B475" s="88">
        <f>PAGE5!$C$30</f>
        <v>0</v>
      </c>
      <c r="C475" s="89">
        <f>PAGE5!$E$30</f>
        <v>0</v>
      </c>
    </row>
    <row r="476" spans="1:3" x14ac:dyDescent="0.35">
      <c r="A476" s="193" t="str">
        <f>$C$1&amp;".E30A.REM.VAR.PBSEC.DISB._INT.12.1_13_PERCT."</f>
        <v>xxxx.E30A.REM.VAR.PBSEC.DISB._INT.12.1_13_PERCT.</v>
      </c>
      <c r="B476" s="88">
        <f>PAGE5!$G$30</f>
        <v>0</v>
      </c>
      <c r="C476" s="89">
        <f>PAGE5!$I$30</f>
        <v>0</v>
      </c>
    </row>
    <row r="477" spans="1:3" x14ac:dyDescent="0.35">
      <c r="A477" s="193" t="str">
        <f>$C$1&amp;".E30A.REM.ADJ.PBSEC.DISB._INT.12.1_13_PERCT."</f>
        <v>xxxx.E30A.REM.ADJ.PBSEC.DISB._INT.12.1_13_PERCT.</v>
      </c>
      <c r="B477" s="88">
        <f>PAGE5!$K$30</f>
        <v>0</v>
      </c>
      <c r="C477" s="89">
        <f>PAGE5!$M$30</f>
        <v>0</v>
      </c>
    </row>
    <row r="478" spans="1:3" x14ac:dyDescent="0.35">
      <c r="A478" s="193" t="str">
        <f>$C$1&amp;".E30A.REM.PBSEC.DISB._INT.12.1_13_PERCT.TTL."</f>
        <v>xxxx.E30A.REM.PBSEC.DISB._INT.12.1_13_PERCT.TTL.</v>
      </c>
      <c r="B478" s="88">
        <f>PAGE5!$P$30</f>
        <v>0</v>
      </c>
      <c r="C478" s="89">
        <f>PAGE5!$R$30</f>
        <v>0</v>
      </c>
    </row>
    <row r="479" spans="1:3" x14ac:dyDescent="0.35">
      <c r="A479" s="193" t="str">
        <f>$C$1&amp;".E30A.REM.FR.PBSEC.DISB._INT.13.1_14_PERCT."</f>
        <v>xxxx.E30A.REM.FR.PBSEC.DISB._INT.13.1_14_PERCT.</v>
      </c>
      <c r="B479" s="88">
        <f>PAGE5!$C$31</f>
        <v>0</v>
      </c>
      <c r="C479" s="89">
        <f>PAGE5!$E$31</f>
        <v>0</v>
      </c>
    </row>
    <row r="480" spans="1:3" x14ac:dyDescent="0.35">
      <c r="A480" s="193" t="str">
        <f>$C$1&amp;".E30A.REM.VAR.PBSEC.DISB._INT.13.1_14_PERCT."</f>
        <v>xxxx.E30A.REM.VAR.PBSEC.DISB._INT.13.1_14_PERCT.</v>
      </c>
      <c r="B480" s="88">
        <f>PAGE5!$G$31</f>
        <v>0</v>
      </c>
      <c r="C480" s="89">
        <f>PAGE5!$I$31</f>
        <v>0</v>
      </c>
    </row>
    <row r="481" spans="1:3" x14ac:dyDescent="0.35">
      <c r="A481" s="193" t="str">
        <f>$C$1&amp;".E30A.REM.ADJ.PBSEC.DISB._INT.13.1_14_PERCT."</f>
        <v>xxxx.E30A.REM.ADJ.PBSEC.DISB._INT.13.1_14_PERCT.</v>
      </c>
      <c r="B481" s="88">
        <f>PAGE5!$K$31</f>
        <v>0</v>
      </c>
      <c r="C481" s="89">
        <f>PAGE5!$M$31</f>
        <v>0</v>
      </c>
    </row>
    <row r="482" spans="1:3" x14ac:dyDescent="0.35">
      <c r="A482" s="193" t="str">
        <f>$C$1&amp;".E30A.REM.PBSEC.DISB._INT.13.1_14_PERCT.TTL."</f>
        <v>xxxx.E30A.REM.PBSEC.DISB._INT.13.1_14_PERCT.TTL.</v>
      </c>
      <c r="B482" s="88">
        <f>PAGE5!$P$31</f>
        <v>0</v>
      </c>
      <c r="C482" s="89">
        <f>PAGE5!$R$31</f>
        <v>0</v>
      </c>
    </row>
    <row r="483" spans="1:3" x14ac:dyDescent="0.35">
      <c r="A483" s="193" t="str">
        <f>$C$1&amp;".E30A.REM.FR.PBSEC.DISB._INT.14.1_15_PERCT."</f>
        <v>xxxx.E30A.REM.FR.PBSEC.DISB._INT.14.1_15_PERCT.</v>
      </c>
      <c r="B483" s="88">
        <f>PAGE5!$C$32</f>
        <v>0</v>
      </c>
      <c r="C483" s="89">
        <f>PAGE5!$E$32</f>
        <v>0</v>
      </c>
    </row>
    <row r="484" spans="1:3" x14ac:dyDescent="0.35">
      <c r="A484" s="193" t="str">
        <f>$C$1&amp;".E30A.REM.VAR.PBSEC.DISB._INT.14.1_15_PERCT."</f>
        <v>xxxx.E30A.REM.VAR.PBSEC.DISB._INT.14.1_15_PERCT.</v>
      </c>
      <c r="B484" s="88">
        <f>PAGE5!$G$32</f>
        <v>0</v>
      </c>
      <c r="C484" s="89">
        <f>PAGE5!$I$32</f>
        <v>0</v>
      </c>
    </row>
    <row r="485" spans="1:3" x14ac:dyDescent="0.35">
      <c r="A485" s="193" t="str">
        <f>$C$1&amp;".E30A.REM.ADJ.PBSEC.DISB._INT.14.1_15_PERCT."</f>
        <v>xxxx.E30A.REM.ADJ.PBSEC.DISB._INT.14.1_15_PERCT.</v>
      </c>
      <c r="B485" s="88">
        <f>PAGE5!$K$32</f>
        <v>0</v>
      </c>
      <c r="C485" s="89">
        <f>PAGE5!$M$32</f>
        <v>0</v>
      </c>
    </row>
    <row r="486" spans="1:3" x14ac:dyDescent="0.35">
      <c r="A486" s="193" t="str">
        <f>$C$1&amp;".E30A.REM.PBSEC.DISB._INT.14.1_15_PERCT.TTL."</f>
        <v>xxxx.E30A.REM.PBSEC.DISB._INT.14.1_15_PERCT.TTL.</v>
      </c>
      <c r="B486" s="88">
        <f>PAGE5!$P$32</f>
        <v>0</v>
      </c>
      <c r="C486" s="89">
        <f>PAGE5!$R$32</f>
        <v>0</v>
      </c>
    </row>
    <row r="487" spans="1:3" x14ac:dyDescent="0.35">
      <c r="A487" s="193" t="str">
        <f>$C$1&amp;".E30A.REM.FR.PBSEC.DISB._INT.OVR_15.1_PERCT."</f>
        <v>xxxx.E30A.REM.FR.PBSEC.DISB._INT.OVR_15.1_PERCT.</v>
      </c>
      <c r="B487" s="88">
        <f>PAGE5!$C$33</f>
        <v>0</v>
      </c>
      <c r="C487" s="89">
        <f>PAGE5!$E$33</f>
        <v>0</v>
      </c>
    </row>
    <row r="488" spans="1:3" x14ac:dyDescent="0.35">
      <c r="A488" s="193" t="str">
        <f>$C$1&amp;".E30A.REM.VAR.PBSEC.DISB._INT.OVR_15.1_PERCT."</f>
        <v>xxxx.E30A.REM.VAR.PBSEC.DISB._INT.OVR_15.1_PERCT.</v>
      </c>
      <c r="B488" s="88">
        <f>PAGE5!$G$33</f>
        <v>0</v>
      </c>
      <c r="C488" s="89">
        <f>PAGE5!$I$33</f>
        <v>0</v>
      </c>
    </row>
    <row r="489" spans="1:3" x14ac:dyDescent="0.35">
      <c r="A489" s="193" t="str">
        <f>$C$1&amp;".E30A.REM.ADJ.PBSEC.DISB._INT.OVR_15.1_PERCT."</f>
        <v>xxxx.E30A.REM.ADJ.PBSEC.DISB._INT.OVR_15.1_PERCT.</v>
      </c>
      <c r="B489" s="88">
        <f>PAGE5!$K$33</f>
        <v>0</v>
      </c>
      <c r="C489" s="89">
        <f>PAGE5!$M$33</f>
        <v>0</v>
      </c>
    </row>
    <row r="490" spans="1:3" x14ac:dyDescent="0.35">
      <c r="A490" s="193" t="str">
        <f>$C$1&amp;".E30A.REM.PBSEC.DISB._INT.OVR_15.1_PERCT.TTL."</f>
        <v>xxxx.E30A.REM.PBSEC.DISB._INT.OVR_15.1_PERCT.TTL.</v>
      </c>
      <c r="B490" s="88">
        <f>PAGE5!$P$33</f>
        <v>0</v>
      </c>
      <c r="C490" s="89">
        <f>PAGE5!$R$33</f>
        <v>0</v>
      </c>
    </row>
    <row r="491" spans="1:3" x14ac:dyDescent="0.35">
      <c r="A491" s="193" t="str">
        <f>$C$1&amp;".E30A.REM.FR.PVFIN.DISB._INT.0_3_PERCT."</f>
        <v>xxxx.E30A.REM.FR.PVFIN.DISB._INT.0_3_PERCT.</v>
      </c>
      <c r="B491" s="88">
        <f>PAGE5!$C$37</f>
        <v>0</v>
      </c>
      <c r="C491" s="89">
        <f>PAGE5!$E$37</f>
        <v>0</v>
      </c>
    </row>
    <row r="492" spans="1:3" x14ac:dyDescent="0.35">
      <c r="A492" s="193" t="str">
        <f>$C$1&amp;".E30A.REM.VAR.PVFIN.DISB._INT.0_3_PERCT."</f>
        <v>xxxx.E30A.REM.VAR.PVFIN.DISB._INT.0_3_PERCT.</v>
      </c>
      <c r="B492" s="88">
        <f>PAGE5!$G$37</f>
        <v>0</v>
      </c>
      <c r="C492" s="89">
        <f>PAGE5!$I$37</f>
        <v>0</v>
      </c>
    </row>
    <row r="493" spans="1:3" x14ac:dyDescent="0.35">
      <c r="A493" s="193" t="str">
        <f>$C$1&amp;".E30A.REM.ADJ.PVFIN.DISB._INT.0_3_PERCT."</f>
        <v>xxxx.E30A.REM.ADJ.PVFIN.DISB._INT.0_3_PERCT.</v>
      </c>
      <c r="B493" s="88">
        <f>PAGE5!$K$37</f>
        <v>0</v>
      </c>
      <c r="C493" s="89">
        <f>PAGE5!$M$37</f>
        <v>0</v>
      </c>
    </row>
    <row r="494" spans="1:3" x14ac:dyDescent="0.35">
      <c r="A494" s="193" t="str">
        <f>$C$1&amp;".E30A.REM.PVFIN.DISB._INT.0_3_PERCT.TTL."</f>
        <v>xxxx.E30A.REM.PVFIN.DISB._INT.0_3_PERCT.TTL.</v>
      </c>
      <c r="B494" s="88">
        <f>PAGE5!$P$37</f>
        <v>0</v>
      </c>
      <c r="C494" s="89">
        <f>PAGE5!$R$37</f>
        <v>0</v>
      </c>
    </row>
    <row r="495" spans="1:3" x14ac:dyDescent="0.35">
      <c r="A495" s="193" t="str">
        <f>$C$1&amp;".E30A.REM.FR.PVFIN.DISB._INT.3.1_4_PERCT."</f>
        <v>xxxx.E30A.REM.FR.PVFIN.DISB._INT.3.1_4_PERCT.</v>
      </c>
      <c r="B495" s="88">
        <f>PAGE5!$C$38</f>
        <v>0</v>
      </c>
      <c r="C495" s="89">
        <f>PAGE5!$E$38</f>
        <v>0</v>
      </c>
    </row>
    <row r="496" spans="1:3" x14ac:dyDescent="0.35">
      <c r="A496" s="193" t="str">
        <f>$C$1&amp;".E30A.REM.VAR.PVFIN.DISB._INT.3.1_4_PERCT."</f>
        <v>xxxx.E30A.REM.VAR.PVFIN.DISB._INT.3.1_4_PERCT.</v>
      </c>
      <c r="B496" s="88">
        <f>PAGE5!$G$38</f>
        <v>0</v>
      </c>
      <c r="C496" s="89">
        <f>PAGE5!$I$38</f>
        <v>0</v>
      </c>
    </row>
    <row r="497" spans="1:3" x14ac:dyDescent="0.35">
      <c r="A497" s="193" t="str">
        <f>$C$1&amp;".E30A.REM.ADJ.PVFIN.DISB._INT.3.1_4_PERCT."</f>
        <v>xxxx.E30A.REM.ADJ.PVFIN.DISB._INT.3.1_4_PERCT.</v>
      </c>
      <c r="B497" s="88">
        <f>PAGE5!$K$38</f>
        <v>0</v>
      </c>
      <c r="C497" s="89">
        <f>PAGE5!$M$38</f>
        <v>0</v>
      </c>
    </row>
    <row r="498" spans="1:3" x14ac:dyDescent="0.35">
      <c r="A498" s="193" t="str">
        <f>$C$1&amp;".E30A.REM.PVFIN.DISB._INT.3.1_4_PERCT.TTL."</f>
        <v>xxxx.E30A.REM.PVFIN.DISB._INT.3.1_4_PERCT.TTL.</v>
      </c>
      <c r="B498" s="88">
        <f>PAGE5!$P$38</f>
        <v>0</v>
      </c>
      <c r="C498" s="89">
        <f>PAGE5!$R$38</f>
        <v>0</v>
      </c>
    </row>
    <row r="499" spans="1:3" x14ac:dyDescent="0.35">
      <c r="A499" s="193" t="str">
        <f>$C$1&amp;".E30A.REM.FR.PVFIN.DISB._INT.4.1_5_PERCT."</f>
        <v>xxxx.E30A.REM.FR.PVFIN.DISB._INT.4.1_5_PERCT.</v>
      </c>
      <c r="B499" s="88">
        <f>PAGE5!$C$39</f>
        <v>0</v>
      </c>
      <c r="C499" s="89">
        <f>PAGE5!$E$39</f>
        <v>0</v>
      </c>
    </row>
    <row r="500" spans="1:3" x14ac:dyDescent="0.35">
      <c r="A500" s="193" t="str">
        <f>$C$1&amp;".E30A.REM.VAR.PVFIN.DISB._INT.4.1_5_PERCT."</f>
        <v>xxxx.E30A.REM.VAR.PVFIN.DISB._INT.4.1_5_PERCT.</v>
      </c>
      <c r="B500" s="88">
        <f>PAGE5!$G$39</f>
        <v>0</v>
      </c>
      <c r="C500" s="89">
        <f>PAGE5!$I$39</f>
        <v>0</v>
      </c>
    </row>
    <row r="501" spans="1:3" x14ac:dyDescent="0.35">
      <c r="A501" s="193" t="str">
        <f>$C$1&amp;".E30A.REM.ADJ.PVFIN.DISB._INT.4.1_5_PERCT."</f>
        <v>xxxx.E30A.REM.ADJ.PVFIN.DISB._INT.4.1_5_PERCT.</v>
      </c>
      <c r="B501" s="88">
        <f>PAGE5!$K$39</f>
        <v>0</v>
      </c>
      <c r="C501" s="89">
        <f>PAGE5!$M$39</f>
        <v>0</v>
      </c>
    </row>
    <row r="502" spans="1:3" x14ac:dyDescent="0.35">
      <c r="A502" s="193" t="str">
        <f>$C$1&amp;".E30A.REM.PVFIN.DISB._INT.4.1_5_PERCT.TTL."</f>
        <v>xxxx.E30A.REM.PVFIN.DISB._INT.4.1_5_PERCT.TTL.</v>
      </c>
      <c r="B502" s="88">
        <f>PAGE5!$P$39</f>
        <v>0</v>
      </c>
      <c r="C502" s="89">
        <f>PAGE5!$R$39</f>
        <v>0</v>
      </c>
    </row>
    <row r="503" spans="1:3" x14ac:dyDescent="0.35">
      <c r="A503" s="193" t="str">
        <f>$C$1&amp;".E30A.REM.FR.PVFIN.DISB._INT.5.1_6_PERCT."</f>
        <v>xxxx.E30A.REM.FR.PVFIN.DISB._INT.5.1_6_PERCT.</v>
      </c>
      <c r="B503" s="88">
        <f>PAGE5!$C$40</f>
        <v>0</v>
      </c>
      <c r="C503" s="89">
        <f>PAGE5!$E$40</f>
        <v>0</v>
      </c>
    </row>
    <row r="504" spans="1:3" x14ac:dyDescent="0.35">
      <c r="A504" s="193" t="str">
        <f>$C$1&amp;".E30A.REM.VAR.PVFIN.DISB._INT.5.1_6_PERCT."</f>
        <v>xxxx.E30A.REM.VAR.PVFIN.DISB._INT.5.1_6_PERCT.</v>
      </c>
      <c r="B504" s="88">
        <f>PAGE5!$G$40</f>
        <v>0</v>
      </c>
      <c r="C504" s="89">
        <f>PAGE5!$I$40</f>
        <v>0</v>
      </c>
    </row>
    <row r="505" spans="1:3" x14ac:dyDescent="0.35">
      <c r="A505" s="193" t="str">
        <f>$C$1&amp;".E30A.REM.ADJ.PVFIN.DISB._INT.5.1_6_PERCT."</f>
        <v>xxxx.E30A.REM.ADJ.PVFIN.DISB._INT.5.1_6_PERCT.</v>
      </c>
      <c r="B505" s="88">
        <f>PAGE5!$K$40</f>
        <v>0</v>
      </c>
      <c r="C505" s="89">
        <f>PAGE5!$M$40</f>
        <v>0</v>
      </c>
    </row>
    <row r="506" spans="1:3" x14ac:dyDescent="0.35">
      <c r="A506" s="193" t="str">
        <f>$C$1&amp;".E30A.REM.PVFIN.DISB._INT.5.1_6_PERCT.TTL."</f>
        <v>xxxx.E30A.REM.PVFIN.DISB._INT.5.1_6_PERCT.TTL.</v>
      </c>
      <c r="B506" s="88">
        <f>PAGE5!$P$40</f>
        <v>0</v>
      </c>
      <c r="C506" s="89">
        <f>PAGE5!$R$40</f>
        <v>0</v>
      </c>
    </row>
    <row r="507" spans="1:3" x14ac:dyDescent="0.35">
      <c r="A507" s="193" t="str">
        <f>$C$1&amp;".E30A.REM.FR.PVFIN.DISB._INT.6.1_7_PERCT."</f>
        <v>xxxx.E30A.REM.FR.PVFIN.DISB._INT.6.1_7_PERCT.</v>
      </c>
      <c r="B507" s="88">
        <f>PAGE5!$C$41</f>
        <v>0</v>
      </c>
      <c r="C507" s="89">
        <f>PAGE5!$E$41</f>
        <v>0</v>
      </c>
    </row>
    <row r="508" spans="1:3" x14ac:dyDescent="0.35">
      <c r="A508" s="193" t="str">
        <f>$C$1&amp;".E30A.REM.VAR.PVFIN.DISB._INT.6.1_7_PERCT."</f>
        <v>xxxx.E30A.REM.VAR.PVFIN.DISB._INT.6.1_7_PERCT.</v>
      </c>
      <c r="B508" s="88">
        <f>PAGE5!$G$41</f>
        <v>0</v>
      </c>
      <c r="C508" s="89">
        <f>PAGE5!$I$41</f>
        <v>0</v>
      </c>
    </row>
    <row r="509" spans="1:3" x14ac:dyDescent="0.35">
      <c r="A509" s="193" t="str">
        <f>$C$1&amp;".E30A.REM.ADJ.PVFIN.DISB._INT.6.1_7_PERCT."</f>
        <v>xxxx.E30A.REM.ADJ.PVFIN.DISB._INT.6.1_7_PERCT.</v>
      </c>
      <c r="B509" s="88">
        <f>PAGE5!$K$41</f>
        <v>0</v>
      </c>
      <c r="C509" s="89">
        <f>PAGE5!$M$41</f>
        <v>0</v>
      </c>
    </row>
    <row r="510" spans="1:3" x14ac:dyDescent="0.35">
      <c r="A510" s="193" t="str">
        <f>$C$1&amp;".E30A.REM.PVFIN.DISB._INT.6.1_7_PERCT.TTL."</f>
        <v>xxxx.E30A.REM.PVFIN.DISB._INT.6.1_7_PERCT.TTL.</v>
      </c>
      <c r="B510" s="88">
        <f>PAGE5!$P$41</f>
        <v>0</v>
      </c>
      <c r="C510" s="89">
        <f>PAGE5!$R$41</f>
        <v>0</v>
      </c>
    </row>
    <row r="511" spans="1:3" x14ac:dyDescent="0.35">
      <c r="A511" s="193" t="str">
        <f>$C$1&amp;".E30A.REM.FR.PVFIN.DISB._INT.7.1_8_PERCT."</f>
        <v>xxxx.E30A.REM.FR.PVFIN.DISB._INT.7.1_8_PERCT.</v>
      </c>
      <c r="B511" s="88">
        <f>PAGE5!$C$42</f>
        <v>0</v>
      </c>
      <c r="C511" s="89">
        <f>PAGE5!$E$42</f>
        <v>0</v>
      </c>
    </row>
    <row r="512" spans="1:3" x14ac:dyDescent="0.35">
      <c r="A512" s="193" t="str">
        <f>$C$1&amp;".E30A.REM.VAR.PVFIN.DISB._INT.7.1_8_PERCT."</f>
        <v>xxxx.E30A.REM.VAR.PVFIN.DISB._INT.7.1_8_PERCT.</v>
      </c>
      <c r="B512" s="88">
        <f>PAGE5!$G$42</f>
        <v>0</v>
      </c>
      <c r="C512" s="89">
        <f>PAGE5!$I$42</f>
        <v>0</v>
      </c>
    </row>
    <row r="513" spans="1:3" x14ac:dyDescent="0.35">
      <c r="A513" s="193" t="str">
        <f>$C$1&amp;".E30A.REM.ADJ.PVFIN.DISB._INT.7.1_8_PERCT."</f>
        <v>xxxx.E30A.REM.ADJ.PVFIN.DISB._INT.7.1_8_PERCT.</v>
      </c>
      <c r="B513" s="88">
        <f>PAGE5!$K$42</f>
        <v>0</v>
      </c>
      <c r="C513" s="89">
        <f>PAGE5!$M$42</f>
        <v>0</v>
      </c>
    </row>
    <row r="514" spans="1:3" x14ac:dyDescent="0.35">
      <c r="A514" s="193" t="str">
        <f>$C$1&amp;".E30A.REM.PVFIN.DISB._INT.7.1_8_PERCT.TTL."</f>
        <v>xxxx.E30A.REM.PVFIN.DISB._INT.7.1_8_PERCT.TTL.</v>
      </c>
      <c r="B514" s="88">
        <f>PAGE5!$P$42</f>
        <v>0</v>
      </c>
      <c r="C514" s="89">
        <f>PAGE5!$R$42</f>
        <v>0</v>
      </c>
    </row>
    <row r="515" spans="1:3" x14ac:dyDescent="0.35">
      <c r="A515" s="193" t="str">
        <f>$C$1&amp;".E30A.REM.FR.PVFIN.DISB._INT.8.1_9_PERCT."</f>
        <v>xxxx.E30A.REM.FR.PVFIN.DISB._INT.8.1_9_PERCT.</v>
      </c>
      <c r="B515" s="88">
        <f>PAGE5!$C$43</f>
        <v>0</v>
      </c>
      <c r="C515" s="89">
        <f>PAGE5!$E$43</f>
        <v>0</v>
      </c>
    </row>
    <row r="516" spans="1:3" x14ac:dyDescent="0.35">
      <c r="A516" s="193" t="str">
        <f>$C$1&amp;".E30A.REM.VAR.PVFIN.DISB._INT.8.1_9_PERCT."</f>
        <v>xxxx.E30A.REM.VAR.PVFIN.DISB._INT.8.1_9_PERCT.</v>
      </c>
      <c r="B516" s="88">
        <f>PAGE5!$G$43</f>
        <v>0</v>
      </c>
      <c r="C516" s="89">
        <f>PAGE5!$I$43</f>
        <v>0</v>
      </c>
    </row>
    <row r="517" spans="1:3" x14ac:dyDescent="0.35">
      <c r="A517" s="193" t="str">
        <f>$C$1&amp;".E30A.REM.ADJ.PVFIN.DISB._INT.8.1_9_PERCT."</f>
        <v>xxxx.E30A.REM.ADJ.PVFIN.DISB._INT.8.1_9_PERCT.</v>
      </c>
      <c r="B517" s="88">
        <f>PAGE5!$K$43</f>
        <v>0</v>
      </c>
      <c r="C517" s="89">
        <f>PAGE5!$M$43</f>
        <v>0</v>
      </c>
    </row>
    <row r="518" spans="1:3" x14ac:dyDescent="0.35">
      <c r="A518" s="193" t="str">
        <f>$C$1&amp;".E30A.REM.PVFIN.DISB._INT.8.1_9_PERCT.TTL."</f>
        <v>xxxx.E30A.REM.PVFIN.DISB._INT.8.1_9_PERCT.TTL.</v>
      </c>
      <c r="B518" s="88">
        <f>PAGE5!$P$43</f>
        <v>0</v>
      </c>
      <c r="C518" s="89">
        <f>PAGE5!$R$43</f>
        <v>0</v>
      </c>
    </row>
    <row r="519" spans="1:3" x14ac:dyDescent="0.35">
      <c r="A519" s="193" t="str">
        <f>$C$1&amp;".E30A.REM.FR.PVFIN.DISB._INT.9.1_10_PERCT."</f>
        <v>xxxx.E30A.REM.FR.PVFIN.DISB._INT.9.1_10_PERCT.</v>
      </c>
      <c r="B519" s="88">
        <f>PAGE5!$C$44</f>
        <v>0</v>
      </c>
      <c r="C519" s="89">
        <f>PAGE5!$E$44</f>
        <v>0</v>
      </c>
    </row>
    <row r="520" spans="1:3" x14ac:dyDescent="0.35">
      <c r="A520" s="193" t="str">
        <f>$C$1&amp;".E30A.REM.VAR.PVFIN.DISB._INT.9.1_10_PERCT."</f>
        <v>xxxx.E30A.REM.VAR.PVFIN.DISB._INT.9.1_10_PERCT.</v>
      </c>
      <c r="B520" s="88">
        <f>PAGE5!$G$44</f>
        <v>0</v>
      </c>
      <c r="C520" s="89">
        <f>PAGE5!$I$44</f>
        <v>0</v>
      </c>
    </row>
    <row r="521" spans="1:3" x14ac:dyDescent="0.35">
      <c r="A521" s="193" t="str">
        <f>$C$1&amp;".E30A.REM.ADJ.PVFIN.DISB._INT.9.1_10_PERCT."</f>
        <v>xxxx.E30A.REM.ADJ.PVFIN.DISB._INT.9.1_10_PERCT.</v>
      </c>
      <c r="B521" s="88">
        <f>PAGE5!$K$44</f>
        <v>0</v>
      </c>
      <c r="C521" s="89">
        <f>PAGE5!$M$44</f>
        <v>0</v>
      </c>
    </row>
    <row r="522" spans="1:3" x14ac:dyDescent="0.35">
      <c r="A522" s="193" t="str">
        <f>$C$1&amp;".E30A.REM.PVFIN.DISB._INT.9.1_10_PERCT.TTL."</f>
        <v>xxxx.E30A.REM.PVFIN.DISB._INT.9.1_10_PERCT.TTL.</v>
      </c>
      <c r="B522" s="88">
        <f>PAGE5!$P$44</f>
        <v>0</v>
      </c>
      <c r="C522" s="89">
        <f>PAGE5!$R$44</f>
        <v>0</v>
      </c>
    </row>
    <row r="523" spans="1:3" x14ac:dyDescent="0.35">
      <c r="A523" s="193" t="str">
        <f>$C$1&amp;".E30A.REM.FR.PVFIN.DISB._INT.10.1_11_PERCT."</f>
        <v>xxxx.E30A.REM.FR.PVFIN.DISB._INT.10.1_11_PERCT.</v>
      </c>
      <c r="B523" s="88">
        <f>PAGE5!$C$45</f>
        <v>0</v>
      </c>
      <c r="C523" s="89">
        <f>PAGE5!$E$45</f>
        <v>0</v>
      </c>
    </row>
    <row r="524" spans="1:3" x14ac:dyDescent="0.35">
      <c r="A524" s="193" t="str">
        <f>$C$1&amp;".E30A.REM.VAR.PVFIN.DISB._INT.10.1_11_PERCT."</f>
        <v>xxxx.E30A.REM.VAR.PVFIN.DISB._INT.10.1_11_PERCT.</v>
      </c>
      <c r="B524" s="88">
        <f>PAGE5!$G$45</f>
        <v>0</v>
      </c>
      <c r="C524" s="89">
        <f>PAGE5!$I$45</f>
        <v>0</v>
      </c>
    </row>
    <row r="525" spans="1:3" x14ac:dyDescent="0.35">
      <c r="A525" s="193" t="str">
        <f>$C$1&amp;".E30A.REM.ADJ.PVFIN.DISB._INT.10.1_11_PERCT."</f>
        <v>xxxx.E30A.REM.ADJ.PVFIN.DISB._INT.10.1_11_PERCT.</v>
      </c>
      <c r="B525" s="88">
        <f>PAGE5!$K$45</f>
        <v>0</v>
      </c>
      <c r="C525" s="89">
        <f>PAGE5!$M$45</f>
        <v>0</v>
      </c>
    </row>
    <row r="526" spans="1:3" x14ac:dyDescent="0.35">
      <c r="A526" s="193" t="str">
        <f>$C$1&amp;".E30A.REM.PVFIN.DISB._INT.10.1_11_PERCT.TTL."</f>
        <v>xxxx.E30A.REM.PVFIN.DISB._INT.10.1_11_PERCT.TTL.</v>
      </c>
      <c r="B526" s="88">
        <f>PAGE5!$P$45</f>
        <v>0</v>
      </c>
      <c r="C526" s="89">
        <f>PAGE5!$R$45</f>
        <v>0</v>
      </c>
    </row>
    <row r="527" spans="1:3" x14ac:dyDescent="0.35">
      <c r="A527" s="193" t="str">
        <f>$C$1&amp;".E30A.REM.FR.PVFIN.DISB._INT.11.1_12_PERCT."</f>
        <v>xxxx.E30A.REM.FR.PVFIN.DISB._INT.11.1_12_PERCT.</v>
      </c>
      <c r="B527" s="88">
        <f>PAGE5!$C$46</f>
        <v>0</v>
      </c>
      <c r="C527" s="89">
        <f>PAGE5!$E$46</f>
        <v>0</v>
      </c>
    </row>
    <row r="528" spans="1:3" x14ac:dyDescent="0.35">
      <c r="A528" s="193" t="str">
        <f>$C$1&amp;".E30A.REM.VAR.PVFIN.DISB._INT.11.1_12_PERCT."</f>
        <v>xxxx.E30A.REM.VAR.PVFIN.DISB._INT.11.1_12_PERCT.</v>
      </c>
      <c r="B528" s="88">
        <f>PAGE5!$G$46</f>
        <v>0</v>
      </c>
      <c r="C528" s="89">
        <f>PAGE5!$I$46</f>
        <v>0</v>
      </c>
    </row>
    <row r="529" spans="1:3" x14ac:dyDescent="0.35">
      <c r="A529" s="193" t="str">
        <f>$C$1&amp;".E30A.REM.ADJ.PVFIN.DISB._INT.11.1_12_PERCT."</f>
        <v>xxxx.E30A.REM.ADJ.PVFIN.DISB._INT.11.1_12_PERCT.</v>
      </c>
      <c r="B529" s="88">
        <f>PAGE5!$K$46</f>
        <v>0</v>
      </c>
      <c r="C529" s="89">
        <f>PAGE5!$M$46</f>
        <v>0</v>
      </c>
    </row>
    <row r="530" spans="1:3" x14ac:dyDescent="0.35">
      <c r="A530" s="193" t="str">
        <f>$C$1&amp;".E30A.REM.PVFIN.DISB._INT.11.1_12_PERCT.TTL."</f>
        <v>xxxx.E30A.REM.PVFIN.DISB._INT.11.1_12_PERCT.TTL.</v>
      </c>
      <c r="B530" s="88">
        <f>PAGE5!$P$46</f>
        <v>0</v>
      </c>
      <c r="C530" s="89">
        <f>PAGE5!$R$46</f>
        <v>0</v>
      </c>
    </row>
    <row r="531" spans="1:3" x14ac:dyDescent="0.35">
      <c r="A531" s="193" t="str">
        <f>$C$1&amp;".E30A.REM.FR.PVFIN.DISB._INT.12.1_13_PERCT."</f>
        <v>xxxx.E30A.REM.FR.PVFIN.DISB._INT.12.1_13_PERCT.</v>
      </c>
      <c r="B531" s="88">
        <f>PAGE5!$C$47</f>
        <v>0</v>
      </c>
      <c r="C531" s="89">
        <f>PAGE5!$E$47</f>
        <v>0</v>
      </c>
    </row>
    <row r="532" spans="1:3" x14ac:dyDescent="0.35">
      <c r="A532" s="193" t="str">
        <f>$C$1&amp;".E30A.REM.VAR.PVFIN.DISB._INT.12.1_13_PERCT."</f>
        <v>xxxx.E30A.REM.VAR.PVFIN.DISB._INT.12.1_13_PERCT.</v>
      </c>
      <c r="B532" s="88">
        <f>PAGE5!$G$47</f>
        <v>0</v>
      </c>
      <c r="C532" s="89">
        <f>PAGE5!$I$47</f>
        <v>0</v>
      </c>
    </row>
    <row r="533" spans="1:3" x14ac:dyDescent="0.35">
      <c r="A533" s="193" t="str">
        <f>$C$1&amp;".E30A.REM.ADJ.PVFIN.DISB._INT.12.1_13_PERCT."</f>
        <v>xxxx.E30A.REM.ADJ.PVFIN.DISB._INT.12.1_13_PERCT.</v>
      </c>
      <c r="B533" s="88">
        <f>PAGE5!$K$47</f>
        <v>0</v>
      </c>
      <c r="C533" s="89">
        <f>PAGE5!$M$47</f>
        <v>0</v>
      </c>
    </row>
    <row r="534" spans="1:3" x14ac:dyDescent="0.35">
      <c r="A534" s="193" t="str">
        <f>$C$1&amp;".E30A.REM.PVFIN.DISB._INT.12.1_13_PERCT.TTL."</f>
        <v>xxxx.E30A.REM.PVFIN.DISB._INT.12.1_13_PERCT.TTL.</v>
      </c>
      <c r="B534" s="88">
        <f>PAGE5!$P$47</f>
        <v>0</v>
      </c>
      <c r="C534" s="89">
        <f>PAGE5!$R$47</f>
        <v>0</v>
      </c>
    </row>
    <row r="535" spans="1:3" x14ac:dyDescent="0.35">
      <c r="A535" s="193" t="str">
        <f>$C$1&amp;".E30A.REM.FR.PVFIN.DISB._INT.13.1_14_PERCT."</f>
        <v>xxxx.E30A.REM.FR.PVFIN.DISB._INT.13.1_14_PERCT.</v>
      </c>
      <c r="B535" s="88">
        <f>PAGE5!$C$48</f>
        <v>0</v>
      </c>
      <c r="C535" s="89">
        <f>PAGE5!$E$48</f>
        <v>0</v>
      </c>
    </row>
    <row r="536" spans="1:3" x14ac:dyDescent="0.35">
      <c r="A536" s="193" t="str">
        <f>$C$1&amp;".E30A.REM.VAR.PVFIN.DISB._INT.13.1_14_PERCT."</f>
        <v>xxxx.E30A.REM.VAR.PVFIN.DISB._INT.13.1_14_PERCT.</v>
      </c>
      <c r="B536" s="88">
        <f>PAGE5!$G$48</f>
        <v>0</v>
      </c>
      <c r="C536" s="89">
        <f>PAGE5!$I$48</f>
        <v>0</v>
      </c>
    </row>
    <row r="537" spans="1:3" x14ac:dyDescent="0.35">
      <c r="A537" s="193" t="str">
        <f>$C$1&amp;".E30A.REM.ADJ.PVFIN.DISB._INT.13.1_14_PERCT."</f>
        <v>xxxx.E30A.REM.ADJ.PVFIN.DISB._INT.13.1_14_PERCT.</v>
      </c>
      <c r="B537" s="88">
        <f>PAGE5!$K$48</f>
        <v>0</v>
      </c>
      <c r="C537" s="89">
        <f>PAGE5!$M$48</f>
        <v>0</v>
      </c>
    </row>
    <row r="538" spans="1:3" x14ac:dyDescent="0.35">
      <c r="A538" s="193" t="str">
        <f>$C$1&amp;".E30A.REM.PVFIN.DISB._INT.13.1_14_PERCT.TTL."</f>
        <v>xxxx.E30A.REM.PVFIN.DISB._INT.13.1_14_PERCT.TTL.</v>
      </c>
      <c r="B538" s="88">
        <f>PAGE5!$P$48</f>
        <v>0</v>
      </c>
      <c r="C538" s="89">
        <f>PAGE5!$R$48</f>
        <v>0</v>
      </c>
    </row>
    <row r="539" spans="1:3" x14ac:dyDescent="0.35">
      <c r="A539" s="193" t="str">
        <f>$C$1&amp;".E30A.REM.FR.PVFIN.DISB._INT.14.1_15_PERCT."</f>
        <v>xxxx.E30A.REM.FR.PVFIN.DISB._INT.14.1_15_PERCT.</v>
      </c>
      <c r="B539" s="88">
        <f>PAGE5!$C$49</f>
        <v>0</v>
      </c>
      <c r="C539" s="89">
        <f>PAGE5!$E$49</f>
        <v>0</v>
      </c>
    </row>
    <row r="540" spans="1:3" x14ac:dyDescent="0.35">
      <c r="A540" s="193" t="str">
        <f>$C$1&amp;".E30A.REM.VAR.PVFIN.DISB._INT.14.1_15_PERCT."</f>
        <v>xxxx.E30A.REM.VAR.PVFIN.DISB._INT.14.1_15_PERCT.</v>
      </c>
      <c r="B540" s="88">
        <f>PAGE5!$G$49</f>
        <v>0</v>
      </c>
      <c r="C540" s="89">
        <f>PAGE5!$I$49</f>
        <v>0</v>
      </c>
    </row>
    <row r="541" spans="1:3" x14ac:dyDescent="0.35">
      <c r="A541" s="193" t="str">
        <f>$C$1&amp;".E30A.REM.ADJ.PVFIN.DISB._INT.14.1_15_PERCT."</f>
        <v>xxxx.E30A.REM.ADJ.PVFIN.DISB._INT.14.1_15_PERCT.</v>
      </c>
      <c r="B541" s="88">
        <f>PAGE5!$K$49</f>
        <v>0</v>
      </c>
      <c r="C541" s="89">
        <f>PAGE5!$M$49</f>
        <v>0</v>
      </c>
    </row>
    <row r="542" spans="1:3" x14ac:dyDescent="0.35">
      <c r="A542" s="193" t="str">
        <f>$C$1&amp;".E30A.REM.PVFIN.DISB._INT.14.1_15_PERCT.TTL."</f>
        <v>xxxx.E30A.REM.PVFIN.DISB._INT.14.1_15_PERCT.TTL.</v>
      </c>
      <c r="B542" s="88">
        <f>PAGE5!$P$49</f>
        <v>0</v>
      </c>
      <c r="C542" s="89">
        <f>PAGE5!$R$49</f>
        <v>0</v>
      </c>
    </row>
    <row r="543" spans="1:3" x14ac:dyDescent="0.35">
      <c r="A543" s="193" t="str">
        <f>$C$1&amp;".E30A.REM.FR.PVFIN.DISB._INT.OVR_15.1_PERCT."</f>
        <v>xxxx.E30A.REM.FR.PVFIN.DISB._INT.OVR_15.1_PERCT.</v>
      </c>
      <c r="B543" s="88">
        <f>PAGE5!$C$50</f>
        <v>0</v>
      </c>
      <c r="C543" s="89">
        <f>PAGE5!$E$50</f>
        <v>0</v>
      </c>
    </row>
    <row r="544" spans="1:3" x14ac:dyDescent="0.35">
      <c r="A544" s="193" t="str">
        <f>$C$1&amp;".E30A.REM.VAR.PVFIN.DISB._INT.OVR_15.1_PERCT."</f>
        <v>xxxx.E30A.REM.VAR.PVFIN.DISB._INT.OVR_15.1_PERCT.</v>
      </c>
      <c r="B544" s="88">
        <f>PAGE5!$G$50</f>
        <v>0</v>
      </c>
      <c r="C544" s="89">
        <f>PAGE5!$I$50</f>
        <v>0</v>
      </c>
    </row>
    <row r="545" spans="1:3" x14ac:dyDescent="0.35">
      <c r="A545" s="193" t="str">
        <f>$C$1&amp;".E30A.REM.ADJ.PVFIN.DISB._INT.OVR_15.1_PERCT."</f>
        <v>xxxx.E30A.REM.ADJ.PVFIN.DISB._INT.OVR_15.1_PERCT.</v>
      </c>
      <c r="B545" s="88">
        <f>PAGE5!$K$50</f>
        <v>0</v>
      </c>
      <c r="C545" s="89">
        <f>PAGE5!$M$50</f>
        <v>0</v>
      </c>
    </row>
    <row r="546" spans="1:3" x14ac:dyDescent="0.35">
      <c r="A546" s="193" t="str">
        <f>$C$1&amp;".E30A.REM.PVFIN.DISB._INT.OVR_15.1_PERCT.TTL."</f>
        <v>xxxx.E30A.REM.PVFIN.DISB._INT.OVR_15.1_PERCT.TTL.</v>
      </c>
      <c r="B546" s="88">
        <f>PAGE5!$P$50</f>
        <v>0</v>
      </c>
      <c r="C546" s="89">
        <f>PAGE5!$R$50</f>
        <v>0</v>
      </c>
    </row>
    <row r="547" spans="1:3" x14ac:dyDescent="0.35">
      <c r="A547" s="193" t="str">
        <f>$C$1&amp;".E30A.REM.FR.IBUS.DISB._INT.0_3_PERCT."</f>
        <v>xxxx.E30A.REM.FR.IBUS.DISB._INT.0_3_PERCT.</v>
      </c>
      <c r="B547" s="88">
        <f>PAGE5!$C$54</f>
        <v>0</v>
      </c>
      <c r="C547" s="89">
        <f>PAGE5!$E$54</f>
        <v>0</v>
      </c>
    </row>
    <row r="548" spans="1:3" x14ac:dyDescent="0.35">
      <c r="A548" s="193" t="str">
        <f>$C$1&amp;".E30A.REM.VAR.IBUS.DISB._INT.0_3_PERCT."</f>
        <v>xxxx.E30A.REM.VAR.IBUS.DISB._INT.0_3_PERCT.</v>
      </c>
      <c r="B548" s="88">
        <f>PAGE5!$G$54</f>
        <v>0</v>
      </c>
      <c r="C548" s="89">
        <f>PAGE5!$I$54</f>
        <v>0</v>
      </c>
    </row>
    <row r="549" spans="1:3" x14ac:dyDescent="0.35">
      <c r="A549" s="193" t="str">
        <f>$C$1&amp;".E30A.REM.ADJ.IBUS.DISB._INT.0_3_PERCT."</f>
        <v>xxxx.E30A.REM.ADJ.IBUS.DISB._INT.0_3_PERCT.</v>
      </c>
      <c r="B549" s="88">
        <f>PAGE5!$K$54</f>
        <v>0</v>
      </c>
      <c r="C549" s="89">
        <f>PAGE5!$M$54</f>
        <v>0</v>
      </c>
    </row>
    <row r="550" spans="1:3" x14ac:dyDescent="0.35">
      <c r="A550" s="193" t="str">
        <f>$C$1&amp;".E30A.REM.IBUS.DISB._INT.0_3_PERCT.TTL."</f>
        <v>xxxx.E30A.REM.IBUS.DISB._INT.0_3_PERCT.TTL.</v>
      </c>
      <c r="B550" s="88">
        <f>PAGE5!$P$54</f>
        <v>0</v>
      </c>
      <c r="C550" s="89">
        <f>PAGE5!$R$54</f>
        <v>0</v>
      </c>
    </row>
    <row r="551" spans="1:3" x14ac:dyDescent="0.35">
      <c r="A551" s="193" t="str">
        <f>$C$1&amp;".E30A.REM.FR.IBUS.DISB._INT.3.1_4_PERCT."</f>
        <v>xxxx.E30A.REM.FR.IBUS.DISB._INT.3.1_4_PERCT.</v>
      </c>
      <c r="B551" s="88">
        <f>PAGE5!$C$55</f>
        <v>0</v>
      </c>
      <c r="C551" s="89">
        <f>PAGE5!$E$55</f>
        <v>0</v>
      </c>
    </row>
    <row r="552" spans="1:3" x14ac:dyDescent="0.35">
      <c r="A552" s="193" t="str">
        <f>$C$1&amp;".E30A.REM.VAR.IBUS.DISB._INT.3.1_4_PERCT."</f>
        <v>xxxx.E30A.REM.VAR.IBUS.DISB._INT.3.1_4_PERCT.</v>
      </c>
      <c r="B552" s="88">
        <f>PAGE5!$G$55</f>
        <v>0</v>
      </c>
      <c r="C552" s="89">
        <f>PAGE5!$I$55</f>
        <v>0</v>
      </c>
    </row>
    <row r="553" spans="1:3" x14ac:dyDescent="0.35">
      <c r="A553" s="193" t="str">
        <f>$C$1&amp;".E30A.REM.ADJ.IBUS.DISB._INT.3.1_4_PERCT."</f>
        <v>xxxx.E30A.REM.ADJ.IBUS.DISB._INT.3.1_4_PERCT.</v>
      </c>
      <c r="B553" s="88">
        <f>PAGE5!$K$55</f>
        <v>0</v>
      </c>
      <c r="C553" s="89">
        <f>PAGE5!$M$55</f>
        <v>0</v>
      </c>
    </row>
    <row r="554" spans="1:3" x14ac:dyDescent="0.35">
      <c r="A554" s="193" t="str">
        <f>$C$1&amp;".E30A.REM.IBUS.DISB._INT.3.1_4_PERCT.TTL."</f>
        <v>xxxx.E30A.REM.IBUS.DISB._INT.3.1_4_PERCT.TTL.</v>
      </c>
      <c r="B554" s="88">
        <f>PAGE5!$P$55</f>
        <v>0</v>
      </c>
      <c r="C554" s="89">
        <f>PAGE5!$R$55</f>
        <v>0</v>
      </c>
    </row>
    <row r="555" spans="1:3" x14ac:dyDescent="0.35">
      <c r="A555" s="193" t="str">
        <f>$C$1&amp;".E30A.REM.FR.IBUS.DISB._INT.4.1_5_PERCT."</f>
        <v>xxxx.E30A.REM.FR.IBUS.DISB._INT.4.1_5_PERCT.</v>
      </c>
      <c r="B555" s="88">
        <f>PAGE5!$C$56</f>
        <v>0</v>
      </c>
      <c r="C555" s="89">
        <f>PAGE5!$E$56</f>
        <v>0</v>
      </c>
    </row>
    <row r="556" spans="1:3" x14ac:dyDescent="0.35">
      <c r="A556" s="193" t="str">
        <f>$C$1&amp;".E30A.REM.VAR.IBUS.DISB._INT.4.1_5_PERCT."</f>
        <v>xxxx.E30A.REM.VAR.IBUS.DISB._INT.4.1_5_PERCT.</v>
      </c>
      <c r="B556" s="88">
        <f>PAGE5!$G$56</f>
        <v>0</v>
      </c>
      <c r="C556" s="89">
        <f>PAGE5!$I$56</f>
        <v>0</v>
      </c>
    </row>
    <row r="557" spans="1:3" x14ac:dyDescent="0.35">
      <c r="A557" s="193" t="str">
        <f>$C$1&amp;".E30A.REM.ADJ.IBUS.DISB._INT.4.1_5_PERCT."</f>
        <v>xxxx.E30A.REM.ADJ.IBUS.DISB._INT.4.1_5_PERCT.</v>
      </c>
      <c r="B557" s="88">
        <f>PAGE5!$K$56</f>
        <v>0</v>
      </c>
      <c r="C557" s="89">
        <f>PAGE5!$M$56</f>
        <v>0</v>
      </c>
    </row>
    <row r="558" spans="1:3" x14ac:dyDescent="0.35">
      <c r="A558" s="193" t="str">
        <f>$C$1&amp;".E30A.REM.IBUS.DISB._INT.4.1_5_PERCT.TTL."</f>
        <v>xxxx.E30A.REM.IBUS.DISB._INT.4.1_5_PERCT.TTL.</v>
      </c>
      <c r="B558" s="88">
        <f>PAGE5!$P$56</f>
        <v>0</v>
      </c>
      <c r="C558" s="89">
        <f>PAGE5!$R$56</f>
        <v>0</v>
      </c>
    </row>
    <row r="559" spans="1:3" x14ac:dyDescent="0.35">
      <c r="A559" s="193" t="str">
        <f>$C$1&amp;".E30A.REM.FR.IBUS.DISB._INT.5.1_6_PERCT."</f>
        <v>xxxx.E30A.REM.FR.IBUS.DISB._INT.5.1_6_PERCT.</v>
      </c>
      <c r="B559" s="88">
        <f>PAGE5!$C$57</f>
        <v>0</v>
      </c>
      <c r="C559" s="89">
        <f>PAGE5!$E$57</f>
        <v>0</v>
      </c>
    </row>
    <row r="560" spans="1:3" x14ac:dyDescent="0.35">
      <c r="A560" s="193" t="str">
        <f>$C$1&amp;".E30A.REM.VAR.IBUS.DISB._INT.5.1_6_PERCT."</f>
        <v>xxxx.E30A.REM.VAR.IBUS.DISB._INT.5.1_6_PERCT.</v>
      </c>
      <c r="B560" s="88">
        <f>PAGE5!$G$57</f>
        <v>0</v>
      </c>
      <c r="C560" s="89">
        <f>PAGE5!$I$57</f>
        <v>0</v>
      </c>
    </row>
    <row r="561" spans="1:3" x14ac:dyDescent="0.35">
      <c r="A561" s="193" t="str">
        <f>$C$1&amp;".E30A.REM.ADJ.IBUS.DISB._INT.5.1_6_PERCT."</f>
        <v>xxxx.E30A.REM.ADJ.IBUS.DISB._INT.5.1_6_PERCT.</v>
      </c>
      <c r="B561" s="88">
        <f>PAGE5!$K$57</f>
        <v>0</v>
      </c>
      <c r="C561" s="89">
        <f>PAGE5!$M$57</f>
        <v>0</v>
      </c>
    </row>
    <row r="562" spans="1:3" x14ac:dyDescent="0.35">
      <c r="A562" s="193" t="str">
        <f>$C$1&amp;".E30A.REM.IBUS.DISB._INT.5.1_6_PERCT.TTL."</f>
        <v>xxxx.E30A.REM.IBUS.DISB._INT.5.1_6_PERCT.TTL.</v>
      </c>
      <c r="B562" s="88">
        <f>PAGE5!$P$57</f>
        <v>0</v>
      </c>
      <c r="C562" s="89">
        <f>PAGE5!$R$57</f>
        <v>0</v>
      </c>
    </row>
    <row r="563" spans="1:3" x14ac:dyDescent="0.35">
      <c r="A563" s="193" t="str">
        <f>$C$1&amp;".E30A.REM.FR.IBUS.DISB._INT.6.1_7_PERCT."</f>
        <v>xxxx.E30A.REM.FR.IBUS.DISB._INT.6.1_7_PERCT.</v>
      </c>
      <c r="B563" s="88">
        <f>PAGE5!$C$58</f>
        <v>0</v>
      </c>
      <c r="C563" s="89">
        <f>PAGE5!$E$58</f>
        <v>0</v>
      </c>
    </row>
    <row r="564" spans="1:3" x14ac:dyDescent="0.35">
      <c r="A564" s="193" t="str">
        <f>$C$1&amp;".E30A.REM.VAR.IBUS.DISB._INT.6.1_7_PERCT."</f>
        <v>xxxx.E30A.REM.VAR.IBUS.DISB._INT.6.1_7_PERCT.</v>
      </c>
      <c r="B564" s="88">
        <f>PAGE5!$G$58</f>
        <v>0</v>
      </c>
      <c r="C564" s="89">
        <f>PAGE5!$I$58</f>
        <v>0</v>
      </c>
    </row>
    <row r="565" spans="1:3" x14ac:dyDescent="0.35">
      <c r="A565" s="193" t="str">
        <f>$C$1&amp;".E30A.REM.ADJ.IBUS.DISB._INT.6.1_7_PERCT."</f>
        <v>xxxx.E30A.REM.ADJ.IBUS.DISB._INT.6.1_7_PERCT.</v>
      </c>
      <c r="B565" s="88">
        <f>PAGE5!$K$58</f>
        <v>0</v>
      </c>
      <c r="C565" s="89">
        <f>PAGE5!$M$58</f>
        <v>0</v>
      </c>
    </row>
    <row r="566" spans="1:3" x14ac:dyDescent="0.35">
      <c r="A566" s="193" t="str">
        <f>$C$1&amp;".E30A.REM.IBUS.DISB._INT.6.1_7_PERCT.TTL."</f>
        <v>xxxx.E30A.REM.IBUS.DISB._INT.6.1_7_PERCT.TTL.</v>
      </c>
      <c r="B566" s="88">
        <f>PAGE5!$P$58</f>
        <v>0</v>
      </c>
      <c r="C566" s="89">
        <f>PAGE5!$R$58</f>
        <v>0</v>
      </c>
    </row>
    <row r="567" spans="1:3" x14ac:dyDescent="0.35">
      <c r="A567" s="193" t="str">
        <f>$C$1&amp;".E30A.REM.FR.IBUS.DISB._INT.7.1_8_PERCT."</f>
        <v>xxxx.E30A.REM.FR.IBUS.DISB._INT.7.1_8_PERCT.</v>
      </c>
      <c r="B567" s="88">
        <f>PAGE5!$C$59</f>
        <v>0</v>
      </c>
      <c r="C567" s="89">
        <f>PAGE5!$E$59</f>
        <v>0</v>
      </c>
    </row>
    <row r="568" spans="1:3" x14ac:dyDescent="0.35">
      <c r="A568" s="193" t="str">
        <f>$C$1&amp;".E30A.REM.VAR.IBUS.DISB._INT.7.1_8_PERCT."</f>
        <v>xxxx.E30A.REM.VAR.IBUS.DISB._INT.7.1_8_PERCT.</v>
      </c>
      <c r="B568" s="88">
        <f>PAGE5!$G$59</f>
        <v>0</v>
      </c>
      <c r="C568" s="89">
        <f>PAGE5!$I$59</f>
        <v>0</v>
      </c>
    </row>
    <row r="569" spans="1:3" x14ac:dyDescent="0.35">
      <c r="A569" s="193" t="str">
        <f>$C$1&amp;".E30A.REM.ADJ.IBUS.DISB._INT.7.1_8_PERCT."</f>
        <v>xxxx.E30A.REM.ADJ.IBUS.DISB._INT.7.1_8_PERCT.</v>
      </c>
      <c r="B569" s="88">
        <f>PAGE5!$K$59</f>
        <v>0</v>
      </c>
      <c r="C569" s="89">
        <f>PAGE5!$M$59</f>
        <v>0</v>
      </c>
    </row>
    <row r="570" spans="1:3" x14ac:dyDescent="0.35">
      <c r="A570" s="193" t="str">
        <f>$C$1&amp;".E30A.REM.IBUS.DISB._INT.7.1_8_PERCT.TTL."</f>
        <v>xxxx.E30A.REM.IBUS.DISB._INT.7.1_8_PERCT.TTL.</v>
      </c>
      <c r="B570" s="88">
        <f>PAGE5!$P$59</f>
        <v>0</v>
      </c>
      <c r="C570" s="89">
        <f>PAGE5!$R$59</f>
        <v>0</v>
      </c>
    </row>
    <row r="571" spans="1:3" x14ac:dyDescent="0.35">
      <c r="A571" s="193" t="str">
        <f>$C$1&amp;".E30A.REM.FR.IBUS.DISB._INT.8.1_9_PERCT."</f>
        <v>xxxx.E30A.REM.FR.IBUS.DISB._INT.8.1_9_PERCT.</v>
      </c>
      <c r="B571" s="88">
        <f>PAGE5!$C$60</f>
        <v>0</v>
      </c>
      <c r="C571" s="89">
        <f>PAGE5!$E$60</f>
        <v>0</v>
      </c>
    </row>
    <row r="572" spans="1:3" x14ac:dyDescent="0.35">
      <c r="A572" s="193" t="str">
        <f>$C$1&amp;".E30A.REM.VAR.IBUS.DISB._INT.8.1_9_PERCT."</f>
        <v>xxxx.E30A.REM.VAR.IBUS.DISB._INT.8.1_9_PERCT.</v>
      </c>
      <c r="B572" s="88">
        <f>PAGE5!$G$60</f>
        <v>0</v>
      </c>
      <c r="C572" s="89">
        <f>PAGE5!$I$60</f>
        <v>0</v>
      </c>
    </row>
    <row r="573" spans="1:3" x14ac:dyDescent="0.35">
      <c r="A573" s="193" t="str">
        <f>$C$1&amp;".E30A.REM.ADJ.IBUS.DISB._INT.8.1_9_PERCT."</f>
        <v>xxxx.E30A.REM.ADJ.IBUS.DISB._INT.8.1_9_PERCT.</v>
      </c>
      <c r="B573" s="88">
        <f>PAGE5!$K$60</f>
        <v>0</v>
      </c>
      <c r="C573" s="89">
        <f>PAGE5!$M$60</f>
        <v>0</v>
      </c>
    </row>
    <row r="574" spans="1:3" x14ac:dyDescent="0.35">
      <c r="A574" s="193" t="str">
        <f>$C$1&amp;".E30A.REM.IBUS.DISB._INT.8.1_9_PERCT.TTL."</f>
        <v>xxxx.E30A.REM.IBUS.DISB._INT.8.1_9_PERCT.TTL.</v>
      </c>
      <c r="B574" s="88">
        <f>PAGE5!$P$60</f>
        <v>0</v>
      </c>
      <c r="C574" s="89">
        <f>PAGE5!$R$60</f>
        <v>0</v>
      </c>
    </row>
    <row r="575" spans="1:3" x14ac:dyDescent="0.35">
      <c r="A575" s="193" t="str">
        <f>$C$1&amp;".E30A.REM.FR.IBUS.DISB._INT.9.1_10_PERCT."</f>
        <v>xxxx.E30A.REM.FR.IBUS.DISB._INT.9.1_10_PERCT.</v>
      </c>
      <c r="B575" s="88">
        <f>PAGE5!$C$61</f>
        <v>0</v>
      </c>
      <c r="C575" s="89">
        <f>PAGE5!$E$61</f>
        <v>0</v>
      </c>
    </row>
    <row r="576" spans="1:3" x14ac:dyDescent="0.35">
      <c r="A576" s="193" t="str">
        <f>$C$1&amp;".E30A.REM.VAR.IBUS.DISB._INT.9.1_10_PERCT."</f>
        <v>xxxx.E30A.REM.VAR.IBUS.DISB._INT.9.1_10_PERCT.</v>
      </c>
      <c r="B576" s="88">
        <f>PAGE5!$G$61</f>
        <v>0</v>
      </c>
      <c r="C576" s="89">
        <f>PAGE5!$I$61</f>
        <v>0</v>
      </c>
    </row>
    <row r="577" spans="1:3" x14ac:dyDescent="0.35">
      <c r="A577" s="193" t="str">
        <f>$C$1&amp;".E30A.REM.ADJ.IBUS.DISB._INT.9.1_10_PERCT."</f>
        <v>xxxx.E30A.REM.ADJ.IBUS.DISB._INT.9.1_10_PERCT.</v>
      </c>
      <c r="B577" s="88">
        <f>PAGE5!$K$61</f>
        <v>0</v>
      </c>
      <c r="C577" s="89">
        <f>PAGE5!$M$61</f>
        <v>0</v>
      </c>
    </row>
    <row r="578" spans="1:3" x14ac:dyDescent="0.35">
      <c r="A578" s="193" t="str">
        <f>$C$1&amp;".E30A.REM.IBUS.DISB._INT.9.1_10_PERCT.TTL."</f>
        <v>xxxx.E30A.REM.IBUS.DISB._INT.9.1_10_PERCT.TTL.</v>
      </c>
      <c r="B578" s="88">
        <f>PAGE5!$P$61</f>
        <v>0</v>
      </c>
      <c r="C578" s="89">
        <f>PAGE5!$R$61</f>
        <v>0</v>
      </c>
    </row>
    <row r="579" spans="1:3" x14ac:dyDescent="0.35">
      <c r="A579" s="193" t="str">
        <f>$C$1&amp;".E30A.REM.FR.IBUS.DISB._INT.10.1_11_PERCT."</f>
        <v>xxxx.E30A.REM.FR.IBUS.DISB._INT.10.1_11_PERCT.</v>
      </c>
      <c r="B579" s="88">
        <f>PAGE5!$C$62</f>
        <v>0</v>
      </c>
      <c r="C579" s="89">
        <f>PAGE5!$E$62</f>
        <v>0</v>
      </c>
    </row>
    <row r="580" spans="1:3" x14ac:dyDescent="0.35">
      <c r="A580" s="193" t="str">
        <f>$C$1&amp;".E30A.REM.VAR.IBUS.DISB._INT.10.1_11_PERCT."</f>
        <v>xxxx.E30A.REM.VAR.IBUS.DISB._INT.10.1_11_PERCT.</v>
      </c>
      <c r="B580" s="88">
        <f>PAGE5!$G$62</f>
        <v>0</v>
      </c>
      <c r="C580" s="89">
        <f>PAGE5!$I$62</f>
        <v>0</v>
      </c>
    </row>
    <row r="581" spans="1:3" x14ac:dyDescent="0.35">
      <c r="A581" s="193" t="str">
        <f>$C$1&amp;".E30A.REM.ADJ.IBUS.DISB._INT.10.1_11_PERCT."</f>
        <v>xxxx.E30A.REM.ADJ.IBUS.DISB._INT.10.1_11_PERCT.</v>
      </c>
      <c r="B581" s="88">
        <f>PAGE5!$K$62</f>
        <v>0</v>
      </c>
      <c r="C581" s="89">
        <f>PAGE5!$M$62</f>
        <v>0</v>
      </c>
    </row>
    <row r="582" spans="1:3" x14ac:dyDescent="0.35">
      <c r="A582" s="193" t="str">
        <f>$C$1&amp;".E30A.REM.IBUS.DISB._INT.10.1_11_PERCT.TTL."</f>
        <v>xxxx.E30A.REM.IBUS.DISB._INT.10.1_11_PERCT.TTL.</v>
      </c>
      <c r="B582" s="88">
        <f>PAGE5!$P$62</f>
        <v>0</v>
      </c>
      <c r="C582" s="89">
        <f>PAGE5!$R$62</f>
        <v>0</v>
      </c>
    </row>
    <row r="583" spans="1:3" x14ac:dyDescent="0.35">
      <c r="A583" s="193" t="str">
        <f>$C$1&amp;".E30A.REM.FR.IBUS.DISB._INT.11.1_12_PERCT."</f>
        <v>xxxx.E30A.REM.FR.IBUS.DISB._INT.11.1_12_PERCT.</v>
      </c>
      <c r="B583" s="88">
        <f>PAGE5!$C$63</f>
        <v>0</v>
      </c>
      <c r="C583" s="89">
        <f>PAGE5!$E$63</f>
        <v>0</v>
      </c>
    </row>
    <row r="584" spans="1:3" x14ac:dyDescent="0.35">
      <c r="A584" s="193" t="str">
        <f>$C$1&amp;".E30A.REM.VAR.IBUS.DISB._INT.11.1_12_PERCT."</f>
        <v>xxxx.E30A.REM.VAR.IBUS.DISB._INT.11.1_12_PERCT.</v>
      </c>
      <c r="B584" s="88">
        <f>PAGE5!$G$63</f>
        <v>0</v>
      </c>
      <c r="C584" s="89">
        <f>PAGE5!$I$63</f>
        <v>0</v>
      </c>
    </row>
    <row r="585" spans="1:3" x14ac:dyDescent="0.35">
      <c r="A585" s="193" t="str">
        <f>$C$1&amp;".E30A.REM.ADJ.IBUS.DISB._INT.11.1_12_PERCT."</f>
        <v>xxxx.E30A.REM.ADJ.IBUS.DISB._INT.11.1_12_PERCT.</v>
      </c>
      <c r="B585" s="88">
        <f>PAGE5!$K$63</f>
        <v>0</v>
      </c>
      <c r="C585" s="89">
        <f>PAGE5!$M$63</f>
        <v>0</v>
      </c>
    </row>
    <row r="586" spans="1:3" x14ac:dyDescent="0.35">
      <c r="A586" s="193" t="str">
        <f>$C$1&amp;".E30A.REM.IBUS.DISB._INT.11.1_12_PERCT.TTL."</f>
        <v>xxxx.E30A.REM.IBUS.DISB._INT.11.1_12_PERCT.TTL.</v>
      </c>
      <c r="B586" s="88">
        <f>PAGE5!$P$63</f>
        <v>0</v>
      </c>
      <c r="C586" s="89">
        <f>PAGE5!$R$63</f>
        <v>0</v>
      </c>
    </row>
    <row r="587" spans="1:3" x14ac:dyDescent="0.35">
      <c r="A587" s="193" t="str">
        <f>$C$1&amp;".E30A.REM.FR.IBUS.DISB._INT.12.1_13_PERCT."</f>
        <v>xxxx.E30A.REM.FR.IBUS.DISB._INT.12.1_13_PERCT.</v>
      </c>
      <c r="B587" s="88">
        <f>PAGE5!$C$64</f>
        <v>0</v>
      </c>
      <c r="C587" s="89">
        <f>PAGE5!$E$64</f>
        <v>0</v>
      </c>
    </row>
    <row r="588" spans="1:3" x14ac:dyDescent="0.35">
      <c r="A588" s="193" t="str">
        <f>$C$1&amp;".E30A.REM.VAR.IBUS.DISB._INT.12.1_13_PERCT."</f>
        <v>xxxx.E30A.REM.VAR.IBUS.DISB._INT.12.1_13_PERCT.</v>
      </c>
      <c r="B588" s="88">
        <f>PAGE5!$G$64</f>
        <v>0</v>
      </c>
      <c r="C588" s="89">
        <f>PAGE5!$I$64</f>
        <v>0</v>
      </c>
    </row>
    <row r="589" spans="1:3" x14ac:dyDescent="0.35">
      <c r="A589" s="193" t="str">
        <f>$C$1&amp;".E30A.REM.ADJ.IBUS.DISB._INT.12.1_13_PERCT."</f>
        <v>xxxx.E30A.REM.ADJ.IBUS.DISB._INT.12.1_13_PERCT.</v>
      </c>
      <c r="B589" s="88">
        <f>PAGE5!$K$64</f>
        <v>0</v>
      </c>
      <c r="C589" s="89">
        <f>PAGE5!$M$64</f>
        <v>0</v>
      </c>
    </row>
    <row r="590" spans="1:3" x14ac:dyDescent="0.35">
      <c r="A590" s="193" t="str">
        <f>$C$1&amp;".E30A.REM.IBUS.DISB._INT.12.1_13_PERCT.TTL."</f>
        <v>xxxx.E30A.REM.IBUS.DISB._INT.12.1_13_PERCT.TTL.</v>
      </c>
      <c r="B590" s="88">
        <f>PAGE5!$P$64</f>
        <v>0</v>
      </c>
      <c r="C590" s="89">
        <f>PAGE5!$R$64</f>
        <v>0</v>
      </c>
    </row>
    <row r="591" spans="1:3" x14ac:dyDescent="0.35">
      <c r="A591" s="193" t="str">
        <f>$C$1&amp;".E30A.REM.FR.IBUS.DISB._INT.13.1_14_PERCT."</f>
        <v>xxxx.E30A.REM.FR.IBUS.DISB._INT.13.1_14_PERCT.</v>
      </c>
      <c r="B591" s="88">
        <f>PAGE5!$C$65</f>
        <v>0</v>
      </c>
      <c r="C591" s="89">
        <f>PAGE5!$E$65</f>
        <v>0</v>
      </c>
    </row>
    <row r="592" spans="1:3" x14ac:dyDescent="0.35">
      <c r="A592" s="193" t="str">
        <f>$C$1&amp;".E30A.REM.VAR.IBUS.DISB._INT.13.1_14_PERCT."</f>
        <v>xxxx.E30A.REM.VAR.IBUS.DISB._INT.13.1_14_PERCT.</v>
      </c>
      <c r="B592" s="88">
        <f>PAGE5!$G$65</f>
        <v>0</v>
      </c>
      <c r="C592" s="89">
        <f>PAGE5!$I$65</f>
        <v>0</v>
      </c>
    </row>
    <row r="593" spans="1:3" x14ac:dyDescent="0.35">
      <c r="A593" s="193" t="str">
        <f>$C$1&amp;".E30A.REM.ADJ.IBUS.DISB._INT.13.1_14_PERCT."</f>
        <v>xxxx.E30A.REM.ADJ.IBUS.DISB._INT.13.1_14_PERCT.</v>
      </c>
      <c r="B593" s="88">
        <f>PAGE5!$K$65</f>
        <v>0</v>
      </c>
      <c r="C593" s="89">
        <f>PAGE5!$M$65</f>
        <v>0</v>
      </c>
    </row>
    <row r="594" spans="1:3" x14ac:dyDescent="0.35">
      <c r="A594" s="193" t="str">
        <f>$C$1&amp;".E30A.REM.IBUS.DISB._INT.13.1_14_PERCT.TTL."</f>
        <v>xxxx.E30A.REM.IBUS.DISB._INT.13.1_14_PERCT.TTL.</v>
      </c>
      <c r="B594" s="88">
        <f>PAGE5!$P$65</f>
        <v>0</v>
      </c>
      <c r="C594" s="89">
        <f>PAGE5!$R$65</f>
        <v>0</v>
      </c>
    </row>
    <row r="595" spans="1:3" x14ac:dyDescent="0.35">
      <c r="A595" s="193" t="str">
        <f>$C$1&amp;".E30A.REM.FR.IBUS.DISB._INT.14.1_15_PERCT."</f>
        <v>xxxx.E30A.REM.FR.IBUS.DISB._INT.14.1_15_PERCT.</v>
      </c>
      <c r="B595" s="88">
        <f>PAGE5!$C$66</f>
        <v>0</v>
      </c>
      <c r="C595" s="89">
        <f>PAGE5!$E$66</f>
        <v>0</v>
      </c>
    </row>
    <row r="596" spans="1:3" x14ac:dyDescent="0.35">
      <c r="A596" s="193" t="str">
        <f>$C$1&amp;".E30A.REM.VAR.IBUS.DISB._INT.14.1_15_PERCT."</f>
        <v>xxxx.E30A.REM.VAR.IBUS.DISB._INT.14.1_15_PERCT.</v>
      </c>
      <c r="B596" s="88">
        <f>PAGE5!$G$66</f>
        <v>0</v>
      </c>
      <c r="C596" s="89">
        <f>PAGE5!$I$66</f>
        <v>0</v>
      </c>
    </row>
    <row r="597" spans="1:3" x14ac:dyDescent="0.35">
      <c r="A597" s="193" t="str">
        <f>$C$1&amp;".E30A.REM.ADJ.IBUS.DISB._INT.14.1_15_PERCT."</f>
        <v>xxxx.E30A.REM.ADJ.IBUS.DISB._INT.14.1_15_PERCT.</v>
      </c>
      <c r="B597" s="88">
        <f>PAGE5!$K$66</f>
        <v>0</v>
      </c>
      <c r="C597" s="89">
        <f>PAGE5!$M$66</f>
        <v>0</v>
      </c>
    </row>
    <row r="598" spans="1:3" x14ac:dyDescent="0.35">
      <c r="A598" s="193" t="str">
        <f>$C$1&amp;".E30A.REM.IBUS.DISB._INT.14.1_15_PERCT.TTL."</f>
        <v>xxxx.E30A.REM.IBUS.DISB._INT.14.1_15_PERCT.TTL.</v>
      </c>
      <c r="B598" s="88">
        <f>PAGE5!$P$66</f>
        <v>0</v>
      </c>
      <c r="C598" s="89">
        <f>PAGE5!$R$66</f>
        <v>0</v>
      </c>
    </row>
    <row r="599" spans="1:3" x14ac:dyDescent="0.35">
      <c r="A599" s="193" t="str">
        <f>$C$1&amp;".E30A.REM.FR.IBUS.DISB._INT.OVR_15.1_PERCT."</f>
        <v>xxxx.E30A.REM.FR.IBUS.DISB._INT.OVR_15.1_PERCT.</v>
      </c>
      <c r="B599" s="88">
        <f>PAGE5!$C$67</f>
        <v>0</v>
      </c>
      <c r="C599" s="89">
        <f>PAGE5!$E$67</f>
        <v>0</v>
      </c>
    </row>
    <row r="600" spans="1:3" x14ac:dyDescent="0.35">
      <c r="A600" s="193" t="str">
        <f>$C$1&amp;".E30A.REM.VAR.IBUS.DISB._INT.OVR_15.1_PERCT."</f>
        <v>xxxx.E30A.REM.VAR.IBUS.DISB._INT.OVR_15.1_PERCT.</v>
      </c>
      <c r="B600" s="88">
        <f>PAGE5!$G$67</f>
        <v>0</v>
      </c>
      <c r="C600" s="89">
        <f>PAGE5!$I$67</f>
        <v>0</v>
      </c>
    </row>
    <row r="601" spans="1:3" x14ac:dyDescent="0.35">
      <c r="A601" s="193" t="str">
        <f>$C$1&amp;".E30A.REM.ADJ.IBUS.DISB._INT.OVR_15.1_PERCT."</f>
        <v>xxxx.E30A.REM.ADJ.IBUS.DISB._INT.OVR_15.1_PERCT.</v>
      </c>
      <c r="B601" s="88">
        <f>PAGE5!$K$67</f>
        <v>0</v>
      </c>
      <c r="C601" s="89">
        <f>PAGE5!$M$67</f>
        <v>0</v>
      </c>
    </row>
    <row r="602" spans="1:3" x14ac:dyDescent="0.35">
      <c r="A602" s="193" t="str">
        <f>$C$1&amp;".E30A.REM.IBUS.DISB._INT.OVR_15.1_PERCT.TTL."</f>
        <v>xxxx.E30A.REM.IBUS.DISB._INT.OVR_15.1_PERCT.TTL.</v>
      </c>
      <c r="B602" s="88">
        <f>PAGE5!$P$67</f>
        <v>0</v>
      </c>
      <c r="C602" s="89">
        <f>PAGE5!$R$67</f>
        <v>0</v>
      </c>
    </row>
    <row r="603" spans="1:3" x14ac:dyDescent="0.35">
      <c r="A603" s="193" t="str">
        <f>$C$1&amp;".E30A.REM.FR.UIBUS.DISB._INT.0_3_PERCT."</f>
        <v>xxxx.E30A.REM.FR.UIBUS.DISB._INT.0_3_PERCT.</v>
      </c>
      <c r="B603" s="88">
        <f>PAGE5!$C$71</f>
        <v>0</v>
      </c>
      <c r="C603" s="89">
        <f>PAGE5!$E$71</f>
        <v>0</v>
      </c>
    </row>
    <row r="604" spans="1:3" x14ac:dyDescent="0.35">
      <c r="A604" s="193" t="str">
        <f>$C$1&amp;".E30A.REM.VAR.UIBUS.DISB._INT.0_3_PERCT."</f>
        <v>xxxx.E30A.REM.VAR.UIBUS.DISB._INT.0_3_PERCT.</v>
      </c>
      <c r="B604" s="88">
        <f>PAGE5!$G$71</f>
        <v>0</v>
      </c>
      <c r="C604" s="89">
        <f>PAGE5!$I$71</f>
        <v>0</v>
      </c>
    </row>
    <row r="605" spans="1:3" x14ac:dyDescent="0.35">
      <c r="A605" s="193" t="str">
        <f>$C$1&amp;".E30A.REM.ADJ.UIBUS.DISB._INT.0_3_PERCT."</f>
        <v>xxxx.E30A.REM.ADJ.UIBUS.DISB._INT.0_3_PERCT.</v>
      </c>
      <c r="B605" s="88">
        <f>PAGE5!$K$71</f>
        <v>0</v>
      </c>
      <c r="C605" s="89">
        <f>PAGE5!$M$71</f>
        <v>0</v>
      </c>
    </row>
    <row r="606" spans="1:3" x14ac:dyDescent="0.35">
      <c r="A606" s="193" t="str">
        <f>$C$1&amp;".E30A.REM.UIBUS.DISB._INT.0_3_PERCT.TTL."</f>
        <v>xxxx.E30A.REM.UIBUS.DISB._INT.0_3_PERCT.TTL.</v>
      </c>
      <c r="B606" s="88">
        <f>PAGE5!$P$71</f>
        <v>0</v>
      </c>
      <c r="C606" s="89">
        <f>PAGE5!$R$71</f>
        <v>0</v>
      </c>
    </row>
    <row r="607" spans="1:3" x14ac:dyDescent="0.35">
      <c r="A607" s="193" t="str">
        <f>$C$1&amp;".E30A.REM.FR.UIBUS.DISB._INT.3.1_4_PERCT."</f>
        <v>xxxx.E30A.REM.FR.UIBUS.DISB._INT.3.1_4_PERCT.</v>
      </c>
      <c r="B607" s="88">
        <f>PAGE5!$C$72</f>
        <v>0</v>
      </c>
      <c r="C607" s="89">
        <f>PAGE5!$E$72</f>
        <v>0</v>
      </c>
    </row>
    <row r="608" spans="1:3" x14ac:dyDescent="0.35">
      <c r="A608" s="193" t="str">
        <f>$C$1&amp;".E30A.REM.VAR.UIBUS.DISB._INT.3.1_4_PERCT."</f>
        <v>xxxx.E30A.REM.VAR.UIBUS.DISB._INT.3.1_4_PERCT.</v>
      </c>
      <c r="B608" s="88">
        <f>PAGE5!$G$72</f>
        <v>0</v>
      </c>
      <c r="C608" s="89">
        <f>PAGE5!$I$72</f>
        <v>0</v>
      </c>
    </row>
    <row r="609" spans="1:3" x14ac:dyDescent="0.35">
      <c r="A609" s="193" t="str">
        <f>$C$1&amp;".E30A.REM.ADJ.UIBUS.DISB._INT.3.1_4_PERCT."</f>
        <v>xxxx.E30A.REM.ADJ.UIBUS.DISB._INT.3.1_4_PERCT.</v>
      </c>
      <c r="B609" s="88">
        <f>PAGE5!$K$72</f>
        <v>0</v>
      </c>
      <c r="C609" s="89">
        <f>PAGE5!$M$72</f>
        <v>0</v>
      </c>
    </row>
    <row r="610" spans="1:3" x14ac:dyDescent="0.35">
      <c r="A610" s="193" t="str">
        <f>$C$1&amp;".E30A.REM.UIBUS.DISB._INT.3.1_4_PERCT.TTL."</f>
        <v>xxxx.E30A.REM.UIBUS.DISB._INT.3.1_4_PERCT.TTL.</v>
      </c>
      <c r="B610" s="88">
        <f>PAGE5!$P$72</f>
        <v>0</v>
      </c>
      <c r="C610" s="89">
        <f>PAGE5!$R$72</f>
        <v>0</v>
      </c>
    </row>
    <row r="611" spans="1:3" x14ac:dyDescent="0.35">
      <c r="A611" s="193" t="str">
        <f>$C$1&amp;".E30A.REM.FR.UIBUS.DISB._INT.4.1_5_PERCT."</f>
        <v>xxxx.E30A.REM.FR.UIBUS.DISB._INT.4.1_5_PERCT.</v>
      </c>
      <c r="B611" s="88">
        <f>PAGE5!$C$73</f>
        <v>0</v>
      </c>
      <c r="C611" s="89">
        <f>PAGE5!$E$73</f>
        <v>0</v>
      </c>
    </row>
    <row r="612" spans="1:3" x14ac:dyDescent="0.35">
      <c r="A612" s="193" t="str">
        <f>$C$1&amp;".E30A.REM.VAR.UIBUS.DISB._INT.4.1_5_PERCT."</f>
        <v>xxxx.E30A.REM.VAR.UIBUS.DISB._INT.4.1_5_PERCT.</v>
      </c>
      <c r="B612" s="88">
        <f>PAGE5!$G$73</f>
        <v>0</v>
      </c>
      <c r="C612" s="89">
        <f>PAGE5!$I$73</f>
        <v>0</v>
      </c>
    </row>
    <row r="613" spans="1:3" x14ac:dyDescent="0.35">
      <c r="A613" s="193" t="str">
        <f>$C$1&amp;".E30A.REM.ADJ.UIBUS.DISB._INT.4.1_5_PERCT."</f>
        <v>xxxx.E30A.REM.ADJ.UIBUS.DISB._INT.4.1_5_PERCT.</v>
      </c>
      <c r="B613" s="88">
        <f>PAGE5!$K$73</f>
        <v>0</v>
      </c>
      <c r="C613" s="89">
        <f>PAGE5!$M$73</f>
        <v>0</v>
      </c>
    </row>
    <row r="614" spans="1:3" x14ac:dyDescent="0.35">
      <c r="A614" s="193" t="str">
        <f>$C$1&amp;".E30A.REM.UIBUS.DISB._INT.4.1_5_PERCT.TTL."</f>
        <v>xxxx.E30A.REM.UIBUS.DISB._INT.4.1_5_PERCT.TTL.</v>
      </c>
      <c r="B614" s="88">
        <f>PAGE5!$P$73</f>
        <v>0</v>
      </c>
      <c r="C614" s="89">
        <f>PAGE5!$R$73</f>
        <v>0</v>
      </c>
    </row>
    <row r="615" spans="1:3" x14ac:dyDescent="0.35">
      <c r="A615" s="193" t="str">
        <f>$C$1&amp;".E30A.REM.FR.UIBUS.DISB._INT.5.1_6_PERCT."</f>
        <v>xxxx.E30A.REM.FR.UIBUS.DISB._INT.5.1_6_PERCT.</v>
      </c>
      <c r="B615" s="88">
        <f>PAGE5!$C$74</f>
        <v>0</v>
      </c>
      <c r="C615" s="89">
        <f>PAGE5!$E$74</f>
        <v>0</v>
      </c>
    </row>
    <row r="616" spans="1:3" x14ac:dyDescent="0.35">
      <c r="A616" s="193" t="str">
        <f>$C$1&amp;".E30A.REM.VAR.UIBUS.DISB._INT.5.1_6_PERCT."</f>
        <v>xxxx.E30A.REM.VAR.UIBUS.DISB._INT.5.1_6_PERCT.</v>
      </c>
      <c r="B616" s="88">
        <f>PAGE5!$G$74</f>
        <v>0</v>
      </c>
      <c r="C616" s="89">
        <f>PAGE5!$I$74</f>
        <v>0</v>
      </c>
    </row>
    <row r="617" spans="1:3" x14ac:dyDescent="0.35">
      <c r="A617" s="193" t="str">
        <f>$C$1&amp;".E30A.REM.ADJ.UIBUS.DISB._INT.5.1_6_PERCT."</f>
        <v>xxxx.E30A.REM.ADJ.UIBUS.DISB._INT.5.1_6_PERCT.</v>
      </c>
      <c r="B617" s="88">
        <f>PAGE5!$K$74</f>
        <v>0</v>
      </c>
      <c r="C617" s="89">
        <f>PAGE5!$M$74</f>
        <v>0</v>
      </c>
    </row>
    <row r="618" spans="1:3" x14ac:dyDescent="0.35">
      <c r="A618" s="193" t="str">
        <f>$C$1&amp;".E30A.REM.UIBUS.DISB._INT.5.1_6_PERCT.TTL."</f>
        <v>xxxx.E30A.REM.UIBUS.DISB._INT.5.1_6_PERCT.TTL.</v>
      </c>
      <c r="B618" s="88">
        <f>PAGE5!$P$74</f>
        <v>0</v>
      </c>
      <c r="C618" s="89">
        <f>PAGE5!$R$74</f>
        <v>0</v>
      </c>
    </row>
    <row r="619" spans="1:3" x14ac:dyDescent="0.35">
      <c r="A619" s="193" t="str">
        <f>$C$1&amp;".E30A.REM.FR.UIBUS.DISB._INT.6.1_7_PERCT."</f>
        <v>xxxx.E30A.REM.FR.UIBUS.DISB._INT.6.1_7_PERCT.</v>
      </c>
      <c r="B619" s="88">
        <f>PAGE5!$C$75</f>
        <v>0</v>
      </c>
      <c r="C619" s="89">
        <f>PAGE5!$E$75</f>
        <v>0</v>
      </c>
    </row>
    <row r="620" spans="1:3" x14ac:dyDescent="0.35">
      <c r="A620" s="193" t="str">
        <f>$C$1&amp;".E30A.REM.VAR.UIBUS.DISB._INT.6.1_7_PERCT."</f>
        <v>xxxx.E30A.REM.VAR.UIBUS.DISB._INT.6.1_7_PERCT.</v>
      </c>
      <c r="B620" s="88">
        <f>PAGE5!$G$75</f>
        <v>0</v>
      </c>
      <c r="C620" s="89">
        <f>PAGE5!$I$75</f>
        <v>0</v>
      </c>
    </row>
    <row r="621" spans="1:3" x14ac:dyDescent="0.35">
      <c r="A621" s="193" t="str">
        <f>$C$1&amp;".E30A.REM.ADJ.UIBUS.DISB._INT.6.1_7_PERCT."</f>
        <v>xxxx.E30A.REM.ADJ.UIBUS.DISB._INT.6.1_7_PERCT.</v>
      </c>
      <c r="B621" s="88">
        <f>PAGE5!$K$75</f>
        <v>0</v>
      </c>
      <c r="C621" s="89">
        <f>PAGE5!$M$75</f>
        <v>0</v>
      </c>
    </row>
    <row r="622" spans="1:3" x14ac:dyDescent="0.35">
      <c r="A622" s="193" t="str">
        <f>$C$1&amp;".E30A.REM.UIBUS.DISB._INT.6.1_7_PERCT.TTL."</f>
        <v>xxxx.E30A.REM.UIBUS.DISB._INT.6.1_7_PERCT.TTL.</v>
      </c>
      <c r="B622" s="88">
        <f>PAGE5!$P$75</f>
        <v>0</v>
      </c>
      <c r="C622" s="89">
        <f>PAGE5!$R$75</f>
        <v>0</v>
      </c>
    </row>
    <row r="623" spans="1:3" x14ac:dyDescent="0.35">
      <c r="A623" s="193" t="str">
        <f>$C$1&amp;".E30A.REM.FR.UIBUS.DISB._INT.7.1_8_PERCT."</f>
        <v>xxxx.E30A.REM.FR.UIBUS.DISB._INT.7.1_8_PERCT.</v>
      </c>
      <c r="B623" s="88">
        <f>PAGE5!$C$76</f>
        <v>0</v>
      </c>
      <c r="C623" s="89">
        <f>PAGE5!$E$76</f>
        <v>0</v>
      </c>
    </row>
    <row r="624" spans="1:3" x14ac:dyDescent="0.35">
      <c r="A624" s="193" t="str">
        <f>$C$1&amp;".E30A.REM.VAR.UIBUS.DISB._INT.7.1_8_PERCT."</f>
        <v>xxxx.E30A.REM.VAR.UIBUS.DISB._INT.7.1_8_PERCT.</v>
      </c>
      <c r="B624" s="88">
        <f>PAGE5!$G$76</f>
        <v>0</v>
      </c>
      <c r="C624" s="89">
        <f>PAGE5!$I$76</f>
        <v>0</v>
      </c>
    </row>
    <row r="625" spans="1:3" x14ac:dyDescent="0.35">
      <c r="A625" s="193" t="str">
        <f>$C$1&amp;".E30A.REM.ADJ.UIBUS.DISB._INT.7.1_8_PERCT."</f>
        <v>xxxx.E30A.REM.ADJ.UIBUS.DISB._INT.7.1_8_PERCT.</v>
      </c>
      <c r="B625" s="88">
        <f>PAGE5!$K$76</f>
        <v>0</v>
      </c>
      <c r="C625" s="89">
        <f>PAGE5!$M$76</f>
        <v>0</v>
      </c>
    </row>
    <row r="626" spans="1:3" x14ac:dyDescent="0.35">
      <c r="A626" s="193" t="str">
        <f>$C$1&amp;".E30A.REM.UIBUS.DISB._INT.7.1_8_PERCT.TTL."</f>
        <v>xxxx.E30A.REM.UIBUS.DISB._INT.7.1_8_PERCT.TTL.</v>
      </c>
      <c r="B626" s="88">
        <f>PAGE5!$P$76</f>
        <v>0</v>
      </c>
      <c r="C626" s="89">
        <f>PAGE5!$R$76</f>
        <v>0</v>
      </c>
    </row>
    <row r="627" spans="1:3" x14ac:dyDescent="0.35">
      <c r="A627" s="193" t="str">
        <f>$C$1&amp;".E30A.REM.FR.UIBUS.DISB._INT.8.1_9_PERCT."</f>
        <v>xxxx.E30A.REM.FR.UIBUS.DISB._INT.8.1_9_PERCT.</v>
      </c>
      <c r="B627" s="88">
        <f>PAGE5!$C$77</f>
        <v>0</v>
      </c>
      <c r="C627" s="89">
        <f>PAGE5!$E$77</f>
        <v>0</v>
      </c>
    </row>
    <row r="628" spans="1:3" x14ac:dyDescent="0.35">
      <c r="A628" s="193" t="str">
        <f>$C$1&amp;".E30A.REM.VAR.UIBUS.DISB._INT.8.1_9_PERCT."</f>
        <v>xxxx.E30A.REM.VAR.UIBUS.DISB._INT.8.1_9_PERCT.</v>
      </c>
      <c r="B628" s="88">
        <f>PAGE5!$G$77</f>
        <v>0</v>
      </c>
      <c r="C628" s="89">
        <f>PAGE5!$I$77</f>
        <v>0</v>
      </c>
    </row>
    <row r="629" spans="1:3" x14ac:dyDescent="0.35">
      <c r="A629" s="193" t="str">
        <f>$C$1&amp;".E30A.REM.ADJ.UIBUS.DISB._INT.8.1_9_PERCT."</f>
        <v>xxxx.E30A.REM.ADJ.UIBUS.DISB._INT.8.1_9_PERCT.</v>
      </c>
      <c r="B629" s="88">
        <f>PAGE5!$K$77</f>
        <v>0</v>
      </c>
      <c r="C629" s="89">
        <f>PAGE5!$M$77</f>
        <v>0</v>
      </c>
    </row>
    <row r="630" spans="1:3" x14ac:dyDescent="0.35">
      <c r="A630" s="193" t="str">
        <f>$C$1&amp;".E30A.REM.UIBUS.DISB._INT.8.1_9_PERCT.TTL."</f>
        <v>xxxx.E30A.REM.UIBUS.DISB._INT.8.1_9_PERCT.TTL.</v>
      </c>
      <c r="B630" s="88">
        <f>PAGE5!$P$77</f>
        <v>0</v>
      </c>
      <c r="C630" s="89">
        <f>PAGE5!$R$77</f>
        <v>0</v>
      </c>
    </row>
    <row r="631" spans="1:3" x14ac:dyDescent="0.35">
      <c r="A631" s="193" t="str">
        <f>$C$1&amp;".E30A.REM.FR.UIBUS.DISB._INT.9.1_10_PERCT."</f>
        <v>xxxx.E30A.REM.FR.UIBUS.DISB._INT.9.1_10_PERCT.</v>
      </c>
      <c r="B631" s="88">
        <f>PAGE5!$C$78</f>
        <v>0</v>
      </c>
      <c r="C631" s="89">
        <f>PAGE5!$E$78</f>
        <v>0</v>
      </c>
    </row>
    <row r="632" spans="1:3" x14ac:dyDescent="0.35">
      <c r="A632" s="193" t="str">
        <f>$C$1&amp;".E30A.REM.VAR.UIBUS.DISB._INT.9.1_10_PERCT."</f>
        <v>xxxx.E30A.REM.VAR.UIBUS.DISB._INT.9.1_10_PERCT.</v>
      </c>
      <c r="B632" s="88">
        <f>PAGE5!$G$78</f>
        <v>0</v>
      </c>
      <c r="C632" s="89">
        <f>PAGE5!$I$78</f>
        <v>0</v>
      </c>
    </row>
    <row r="633" spans="1:3" x14ac:dyDescent="0.35">
      <c r="A633" s="193" t="str">
        <f>$C$1&amp;".E30A.REM.ADJ.UIBUS.DISB._INT.9.1_10_PERCT."</f>
        <v>xxxx.E30A.REM.ADJ.UIBUS.DISB._INT.9.1_10_PERCT.</v>
      </c>
      <c r="B633" s="88">
        <f>PAGE5!$K$78</f>
        <v>0</v>
      </c>
      <c r="C633" s="89">
        <f>PAGE5!$M$78</f>
        <v>0</v>
      </c>
    </row>
    <row r="634" spans="1:3" x14ac:dyDescent="0.35">
      <c r="A634" s="193" t="str">
        <f>$C$1&amp;".E30A.REM.UIBUS.DISB._INT.9.1_10_PERCT.TTL."</f>
        <v>xxxx.E30A.REM.UIBUS.DISB._INT.9.1_10_PERCT.TTL.</v>
      </c>
      <c r="B634" s="88">
        <f>PAGE5!$P$78</f>
        <v>0</v>
      </c>
      <c r="C634" s="89">
        <f>PAGE5!$R$78</f>
        <v>0</v>
      </c>
    </row>
    <row r="635" spans="1:3" x14ac:dyDescent="0.35">
      <c r="A635" s="193" t="str">
        <f>$C$1&amp;".E30A.REM.FR.UIBUS.DISB._INT.10.1_11_PERCT."</f>
        <v>xxxx.E30A.REM.FR.UIBUS.DISB._INT.10.1_11_PERCT.</v>
      </c>
      <c r="B635" s="88">
        <f>PAGE5!$C$79</f>
        <v>0</v>
      </c>
      <c r="C635" s="89">
        <f>PAGE5!$E$79</f>
        <v>0</v>
      </c>
    </row>
    <row r="636" spans="1:3" x14ac:dyDescent="0.35">
      <c r="A636" s="193" t="str">
        <f>$C$1&amp;".E30A.REM.VAR.UIBUS.DISB._INT.10.1_11_PERCT."</f>
        <v>xxxx.E30A.REM.VAR.UIBUS.DISB._INT.10.1_11_PERCT.</v>
      </c>
      <c r="B636" s="88">
        <f>PAGE5!$G$79</f>
        <v>0</v>
      </c>
      <c r="C636" s="89">
        <f>PAGE5!$I$79</f>
        <v>0</v>
      </c>
    </row>
    <row r="637" spans="1:3" x14ac:dyDescent="0.35">
      <c r="A637" s="193" t="str">
        <f>$C$1&amp;".E30A.REM.ADJ.UIBUS.DISB._INT.10.1_11_PERCT."</f>
        <v>xxxx.E30A.REM.ADJ.UIBUS.DISB._INT.10.1_11_PERCT.</v>
      </c>
      <c r="B637" s="88">
        <f>PAGE5!$K$79</f>
        <v>0</v>
      </c>
      <c r="C637" s="89">
        <f>PAGE5!$M$79</f>
        <v>0</v>
      </c>
    </row>
    <row r="638" spans="1:3" x14ac:dyDescent="0.35">
      <c r="A638" s="193" t="str">
        <f>$C$1&amp;".E30A.REM.UIBUS.DISB._INT.10.1_11_PERCT.TTL."</f>
        <v>xxxx.E30A.REM.UIBUS.DISB._INT.10.1_11_PERCT.TTL.</v>
      </c>
      <c r="B638" s="88">
        <f>PAGE5!$P$79</f>
        <v>0</v>
      </c>
      <c r="C638" s="89">
        <f>PAGE5!$R$79</f>
        <v>0</v>
      </c>
    </row>
    <row r="639" spans="1:3" x14ac:dyDescent="0.35">
      <c r="A639" s="193" t="str">
        <f>$C$1&amp;".E30A.REM.FR.UIBUS.DISB._INT.11.1_12_PERCT."</f>
        <v>xxxx.E30A.REM.FR.UIBUS.DISB._INT.11.1_12_PERCT.</v>
      </c>
      <c r="B639" s="88">
        <f>PAGE5!$C$80</f>
        <v>0</v>
      </c>
      <c r="C639" s="89">
        <f>PAGE5!$E$80</f>
        <v>0</v>
      </c>
    </row>
    <row r="640" spans="1:3" x14ac:dyDescent="0.35">
      <c r="A640" s="193" t="str">
        <f>$C$1&amp;".E30A.REM.VAR.UIBUS.DISB._INT.11.1_12_PERCT."</f>
        <v>xxxx.E30A.REM.VAR.UIBUS.DISB._INT.11.1_12_PERCT.</v>
      </c>
      <c r="B640" s="88">
        <f>PAGE5!$G$80</f>
        <v>0</v>
      </c>
      <c r="C640" s="89">
        <f>PAGE5!$I$80</f>
        <v>0</v>
      </c>
    </row>
    <row r="641" spans="1:3" x14ac:dyDescent="0.35">
      <c r="A641" s="193" t="str">
        <f>$C$1&amp;".E30A.REM.ADJ.UIBUS.DISB._INT.11.1_12_PERCT."</f>
        <v>xxxx.E30A.REM.ADJ.UIBUS.DISB._INT.11.1_12_PERCT.</v>
      </c>
      <c r="B641" s="88">
        <f>PAGE5!$K$80</f>
        <v>0</v>
      </c>
      <c r="C641" s="89">
        <f>PAGE5!$M$80</f>
        <v>0</v>
      </c>
    </row>
    <row r="642" spans="1:3" x14ac:dyDescent="0.35">
      <c r="A642" s="193" t="str">
        <f>$C$1&amp;".E30A.REM.UIBUS.DISB._INT.11.1_12_PERCT.TTL."</f>
        <v>xxxx.E30A.REM.UIBUS.DISB._INT.11.1_12_PERCT.TTL.</v>
      </c>
      <c r="B642" s="88">
        <f>PAGE5!$P$80</f>
        <v>0</v>
      </c>
      <c r="C642" s="89">
        <f>PAGE5!$R$80</f>
        <v>0</v>
      </c>
    </row>
    <row r="643" spans="1:3" x14ac:dyDescent="0.35">
      <c r="A643" s="193" t="str">
        <f>$C$1&amp;".E30A.REM.FR.UIBUS.DISB._INT.12.1_13_PERCT."</f>
        <v>xxxx.E30A.REM.FR.UIBUS.DISB._INT.12.1_13_PERCT.</v>
      </c>
      <c r="B643" s="88">
        <f>PAGE5!$C$81</f>
        <v>0</v>
      </c>
      <c r="C643" s="89">
        <f>PAGE5!$E$81</f>
        <v>0</v>
      </c>
    </row>
    <row r="644" spans="1:3" x14ac:dyDescent="0.35">
      <c r="A644" s="193" t="str">
        <f>$C$1&amp;".E30A.REM.VAR.UIBUS.DISB._INT.12.1_13_PERCT."</f>
        <v>xxxx.E30A.REM.VAR.UIBUS.DISB._INT.12.1_13_PERCT.</v>
      </c>
      <c r="B644" s="88">
        <f>PAGE5!$G$81</f>
        <v>0</v>
      </c>
      <c r="C644" s="89">
        <f>PAGE5!$I$81</f>
        <v>0</v>
      </c>
    </row>
    <row r="645" spans="1:3" x14ac:dyDescent="0.35">
      <c r="A645" s="193" t="str">
        <f>$C$1&amp;".E30A.REM.ADJ.UIBUS.DISB._INT.12.1_13_PERCT."</f>
        <v>xxxx.E30A.REM.ADJ.UIBUS.DISB._INT.12.1_13_PERCT.</v>
      </c>
      <c r="B645" s="88">
        <f>PAGE5!$K$81</f>
        <v>0</v>
      </c>
      <c r="C645" s="89">
        <f>PAGE5!$M$81</f>
        <v>0</v>
      </c>
    </row>
    <row r="646" spans="1:3" x14ac:dyDescent="0.35">
      <c r="A646" s="193" t="str">
        <f>$C$1&amp;".E30A.REM.UIBUS.DISB._INT.12.1_13_PERCT.TTL."</f>
        <v>xxxx.E30A.REM.UIBUS.DISB._INT.12.1_13_PERCT.TTL.</v>
      </c>
      <c r="B646" s="88">
        <f>PAGE5!$P$81</f>
        <v>0</v>
      </c>
      <c r="C646" s="89">
        <f>PAGE5!$R$81</f>
        <v>0</v>
      </c>
    </row>
    <row r="647" spans="1:3" x14ac:dyDescent="0.35">
      <c r="A647" s="193" t="str">
        <f>$C$1&amp;".E30A.REM.FR.UIBUS.DISB._INT.13.1_14_PERCT."</f>
        <v>xxxx.E30A.REM.FR.UIBUS.DISB._INT.13.1_14_PERCT.</v>
      </c>
      <c r="B647" s="88">
        <f>PAGE5!$C$82</f>
        <v>0</v>
      </c>
      <c r="C647" s="89">
        <f>PAGE5!$E$82</f>
        <v>0</v>
      </c>
    </row>
    <row r="648" spans="1:3" x14ac:dyDescent="0.35">
      <c r="A648" s="193" t="str">
        <f>$C$1&amp;".E30A.REM.VAR.UIBUS.DISB._INT.13.1_14_PERCT."</f>
        <v>xxxx.E30A.REM.VAR.UIBUS.DISB._INT.13.1_14_PERCT.</v>
      </c>
      <c r="B648" s="88">
        <f>PAGE5!$G$82</f>
        <v>0</v>
      </c>
      <c r="C648" s="89">
        <f>PAGE5!$I$82</f>
        <v>0</v>
      </c>
    </row>
    <row r="649" spans="1:3" x14ac:dyDescent="0.35">
      <c r="A649" s="193" t="str">
        <f>$C$1&amp;".E30A.REM.ADJ.UIBUS.DISB._INT.13.1_14_PERCT."</f>
        <v>xxxx.E30A.REM.ADJ.UIBUS.DISB._INT.13.1_14_PERCT.</v>
      </c>
      <c r="B649" s="88">
        <f>PAGE5!$K$82</f>
        <v>0</v>
      </c>
      <c r="C649" s="89">
        <f>PAGE5!$M$82</f>
        <v>0</v>
      </c>
    </row>
    <row r="650" spans="1:3" x14ac:dyDescent="0.35">
      <c r="A650" s="193" t="str">
        <f>$C$1&amp;".E30A.REM.UIBUS.DISB._INT.13.1_14_PERCT.TTL."</f>
        <v>xxxx.E30A.REM.UIBUS.DISB._INT.13.1_14_PERCT.TTL.</v>
      </c>
      <c r="B650" s="88">
        <f>PAGE5!$P$82</f>
        <v>0</v>
      </c>
      <c r="C650" s="89">
        <f>PAGE5!$R$82</f>
        <v>0</v>
      </c>
    </row>
    <row r="651" spans="1:3" x14ac:dyDescent="0.35">
      <c r="A651" s="193" t="str">
        <f>$C$1&amp;".E30A.REM.FR.UIBUS.DISB._INT.14.1_15_PERCT."</f>
        <v>xxxx.E30A.REM.FR.UIBUS.DISB._INT.14.1_15_PERCT.</v>
      </c>
      <c r="B651" s="88">
        <f>PAGE5!$C$83</f>
        <v>0</v>
      </c>
      <c r="C651" s="89">
        <f>PAGE5!$E$83</f>
        <v>0</v>
      </c>
    </row>
    <row r="652" spans="1:3" x14ac:dyDescent="0.35">
      <c r="A652" s="193" t="str">
        <f>$C$1&amp;".E30A.REM.VAR.UIBUS.DISB._INT.14.1_15_PERCT."</f>
        <v>xxxx.E30A.REM.VAR.UIBUS.DISB._INT.14.1_15_PERCT.</v>
      </c>
      <c r="B652" s="88">
        <f>PAGE5!$G$83</f>
        <v>0</v>
      </c>
      <c r="C652" s="89">
        <f>PAGE5!$I$83</f>
        <v>0</v>
      </c>
    </row>
    <row r="653" spans="1:3" x14ac:dyDescent="0.35">
      <c r="A653" s="193" t="str">
        <f>$C$1&amp;".E30A.REM.ADJ.UIBUS.DISB._INT.14.1_15_PERCT."</f>
        <v>xxxx.E30A.REM.ADJ.UIBUS.DISB._INT.14.1_15_PERCT.</v>
      </c>
      <c r="B653" s="88">
        <f>PAGE5!$K$83</f>
        <v>0</v>
      </c>
      <c r="C653" s="89">
        <f>PAGE5!$M$83</f>
        <v>0</v>
      </c>
    </row>
    <row r="654" spans="1:3" x14ac:dyDescent="0.35">
      <c r="A654" s="193" t="str">
        <f>$C$1&amp;".E30A.REM.UIBUS.DISB._INT.14.1_15_PERCT.TTL."</f>
        <v>xxxx.E30A.REM.UIBUS.DISB._INT.14.1_15_PERCT.TTL.</v>
      </c>
      <c r="B654" s="88">
        <f>PAGE5!$P$83</f>
        <v>0</v>
      </c>
      <c r="C654" s="89">
        <f>PAGE5!$R$83</f>
        <v>0</v>
      </c>
    </row>
    <row r="655" spans="1:3" x14ac:dyDescent="0.35">
      <c r="A655" s="193" t="str">
        <f>$C$1&amp;".E30A.REM.FR.UIBUS.DISB._INT.OVR_15.1_PERCT."</f>
        <v>xxxx.E30A.REM.FR.UIBUS.DISB._INT.OVR_15.1_PERCT.</v>
      </c>
      <c r="B655" s="88">
        <f>PAGE5!$C$84</f>
        <v>0</v>
      </c>
      <c r="C655" s="89">
        <f>PAGE5!$E$84</f>
        <v>0</v>
      </c>
    </row>
    <row r="656" spans="1:3" x14ac:dyDescent="0.35">
      <c r="A656" s="193" t="str">
        <f>$C$1&amp;".E30A.REM.VAR.UIBUS.DISB._INT.OVR_15.1_PERCT."</f>
        <v>xxxx.E30A.REM.VAR.UIBUS.DISB._INT.OVR_15.1_PERCT.</v>
      </c>
      <c r="B656" s="88">
        <f>PAGE5!$G$84</f>
        <v>0</v>
      </c>
      <c r="C656" s="89">
        <f>PAGE5!$I$84</f>
        <v>0</v>
      </c>
    </row>
    <row r="657" spans="1:3" x14ac:dyDescent="0.35">
      <c r="A657" s="193" t="str">
        <f>$C$1&amp;".E30A.REM.ADJ.UIBUS.DISB._INT.OVR_15.1_PERCT."</f>
        <v>xxxx.E30A.REM.ADJ.UIBUS.DISB._INT.OVR_15.1_PERCT.</v>
      </c>
      <c r="B657" s="88">
        <f>PAGE5!$K$84</f>
        <v>0</v>
      </c>
      <c r="C657" s="89">
        <f>PAGE5!$M$84</f>
        <v>0</v>
      </c>
    </row>
    <row r="658" spans="1:3" x14ac:dyDescent="0.35">
      <c r="A658" s="193" t="str">
        <f>$C$1&amp;".E30A.REM.UIBUS.DISB._INT.OVR_15.1_PERCT.TTL."</f>
        <v>xxxx.E30A.REM.UIBUS.DISB._INT.OVR_15.1_PERCT.TTL.</v>
      </c>
      <c r="B658" s="88">
        <f>PAGE5!$P$84</f>
        <v>0</v>
      </c>
      <c r="C658" s="89">
        <f>PAGE5!$R$84</f>
        <v>0</v>
      </c>
    </row>
    <row r="659" spans="1:3" x14ac:dyDescent="0.35">
      <c r="A659" s="193" t="str">
        <f>$C$1&amp;".E30A.REM.FR.CONSM.DISB._INT.0_3_PERCT."</f>
        <v>xxxx.E30A.REM.FR.CONSM.DISB._INT.0_3_PERCT.</v>
      </c>
      <c r="B659" s="88">
        <f>PAGE5!$C$87</f>
        <v>0</v>
      </c>
      <c r="C659" s="89">
        <f>PAGE5!$E$87</f>
        <v>0</v>
      </c>
    </row>
    <row r="660" spans="1:3" x14ac:dyDescent="0.35">
      <c r="A660" s="193" t="str">
        <f>$C$1&amp;".E30A.REM.VAR.CONSM.DISB._INT.0_3_PERCT."</f>
        <v>xxxx.E30A.REM.VAR.CONSM.DISB._INT.0_3_PERCT.</v>
      </c>
      <c r="B660" s="88">
        <f>PAGE5!$G$87</f>
        <v>0</v>
      </c>
      <c r="C660" s="89">
        <f>PAGE5!$I$87</f>
        <v>0</v>
      </c>
    </row>
    <row r="661" spans="1:3" x14ac:dyDescent="0.35">
      <c r="A661" s="193" t="str">
        <f>$C$1&amp;".E30A.REM.ADJ.CONSM.DISB._INT.0_3_PERCT."</f>
        <v>xxxx.E30A.REM.ADJ.CONSM.DISB._INT.0_3_PERCT.</v>
      </c>
      <c r="B661" s="88">
        <f>PAGE5!$K$87</f>
        <v>0</v>
      </c>
      <c r="C661" s="89">
        <f>PAGE5!$M$87</f>
        <v>0</v>
      </c>
    </row>
    <row r="662" spans="1:3" x14ac:dyDescent="0.35">
      <c r="A662" s="193" t="str">
        <f>$C$1&amp;".E30A.REM.CONSM.DISB._INT.0_3_PERCT.TTL."</f>
        <v>xxxx.E30A.REM.CONSM.DISB._INT.0_3_PERCT.TTL.</v>
      </c>
      <c r="B662" s="88">
        <f>PAGE5!$P$87</f>
        <v>0</v>
      </c>
      <c r="C662" s="89">
        <f>PAGE5!$R$87</f>
        <v>0</v>
      </c>
    </row>
    <row r="663" spans="1:3" x14ac:dyDescent="0.35">
      <c r="A663" s="193" t="str">
        <f>$C$1&amp;".E30A.REM.FR.CONSM.DISB._INT.3.1_4_PERCT."</f>
        <v>xxxx.E30A.REM.FR.CONSM.DISB._INT.3.1_4_PERCT.</v>
      </c>
      <c r="B663" s="88">
        <f>PAGE5!$C$88</f>
        <v>0</v>
      </c>
      <c r="C663" s="89">
        <f>PAGE5!$E$88</f>
        <v>0</v>
      </c>
    </row>
    <row r="664" spans="1:3" x14ac:dyDescent="0.35">
      <c r="A664" s="193" t="str">
        <f>$C$1&amp;".E30A.REM.VAR.CONSM.DISB._INT.3.1_4_PERCT."</f>
        <v>xxxx.E30A.REM.VAR.CONSM.DISB._INT.3.1_4_PERCT.</v>
      </c>
      <c r="B664" s="88">
        <f>PAGE5!$G$88</f>
        <v>0</v>
      </c>
      <c r="C664" s="89">
        <f>PAGE5!$I$88</f>
        <v>0</v>
      </c>
    </row>
    <row r="665" spans="1:3" x14ac:dyDescent="0.35">
      <c r="A665" s="193" t="str">
        <f>$C$1&amp;".E30A.REM.ADJ.CONSM.DISB._INT.3.1_4_PERCT."</f>
        <v>xxxx.E30A.REM.ADJ.CONSM.DISB._INT.3.1_4_PERCT.</v>
      </c>
      <c r="B665" s="88">
        <f>PAGE5!$K$88</f>
        <v>0</v>
      </c>
      <c r="C665" s="89">
        <f>PAGE5!$M$88</f>
        <v>0</v>
      </c>
    </row>
    <row r="666" spans="1:3" x14ac:dyDescent="0.35">
      <c r="A666" s="193" t="str">
        <f>$C$1&amp;".E30A.REM.CONSM.DISB._INT.3.1_4_PERCT.TTL."</f>
        <v>xxxx.E30A.REM.CONSM.DISB._INT.3.1_4_PERCT.TTL.</v>
      </c>
      <c r="B666" s="88">
        <f>PAGE5!$P$88</f>
        <v>0</v>
      </c>
      <c r="C666" s="89">
        <f>PAGE5!$R$88</f>
        <v>0</v>
      </c>
    </row>
    <row r="667" spans="1:3" x14ac:dyDescent="0.35">
      <c r="A667" s="193" t="str">
        <f>$C$1&amp;".E30A.REM.FR.CONSM.DISB._INT.4.1_5_PERCT."</f>
        <v>xxxx.E30A.REM.FR.CONSM.DISB._INT.4.1_5_PERCT.</v>
      </c>
      <c r="B667" s="88">
        <f>PAGE5!$C$89</f>
        <v>0</v>
      </c>
      <c r="C667" s="89">
        <f>PAGE5!$E$89</f>
        <v>0</v>
      </c>
    </row>
    <row r="668" spans="1:3" x14ac:dyDescent="0.35">
      <c r="A668" s="193" t="str">
        <f>$C$1&amp;".E30A.REM.VAR.CONSM.DISB._INT.4.1_5_PERCT."</f>
        <v>xxxx.E30A.REM.VAR.CONSM.DISB._INT.4.1_5_PERCT.</v>
      </c>
      <c r="B668" s="88">
        <f>PAGE5!$G$89</f>
        <v>0</v>
      </c>
      <c r="C668" s="89">
        <f>PAGE5!$I$89</f>
        <v>0</v>
      </c>
    </row>
    <row r="669" spans="1:3" x14ac:dyDescent="0.35">
      <c r="A669" s="193" t="str">
        <f>$C$1&amp;".E30A.REM.ADJ.CONSM.DISB._INT.4.1_5_PERCT."</f>
        <v>xxxx.E30A.REM.ADJ.CONSM.DISB._INT.4.1_5_PERCT.</v>
      </c>
      <c r="B669" s="88">
        <f>PAGE5!$K$89</f>
        <v>0</v>
      </c>
      <c r="C669" s="89">
        <f>PAGE5!$M$89</f>
        <v>0</v>
      </c>
    </row>
    <row r="670" spans="1:3" x14ac:dyDescent="0.35">
      <c r="A670" s="193" t="str">
        <f>$C$1&amp;".E30A.REM.CONSM.DISB._INT.4.1_5_PERCT.TTL."</f>
        <v>xxxx.E30A.REM.CONSM.DISB._INT.4.1_5_PERCT.TTL.</v>
      </c>
      <c r="B670" s="88">
        <f>PAGE5!$P$89</f>
        <v>0</v>
      </c>
      <c r="C670" s="89">
        <f>PAGE5!$R$89</f>
        <v>0</v>
      </c>
    </row>
    <row r="671" spans="1:3" x14ac:dyDescent="0.35">
      <c r="A671" s="193" t="str">
        <f>$C$1&amp;".E30A.REM.FR.CONSM.DISB._INT.5.1_6_PERCT."</f>
        <v>xxxx.E30A.REM.FR.CONSM.DISB._INT.5.1_6_PERCT.</v>
      </c>
      <c r="B671" s="88">
        <f>PAGE5!$C$90</f>
        <v>0</v>
      </c>
      <c r="C671" s="89">
        <f>PAGE5!$E$90</f>
        <v>0</v>
      </c>
    </row>
    <row r="672" spans="1:3" x14ac:dyDescent="0.35">
      <c r="A672" s="193" t="str">
        <f>$C$1&amp;".E30A.REM.VAR.CONSM.DISB._INT.5.1_6_PERCT."</f>
        <v>xxxx.E30A.REM.VAR.CONSM.DISB._INT.5.1_6_PERCT.</v>
      </c>
      <c r="B672" s="88">
        <f>PAGE5!$G$90</f>
        <v>0</v>
      </c>
      <c r="C672" s="89">
        <f>PAGE5!$I$90</f>
        <v>0</v>
      </c>
    </row>
    <row r="673" spans="1:3" x14ac:dyDescent="0.35">
      <c r="A673" s="193" t="str">
        <f>$C$1&amp;".E30A.REM.ADJ.CONSM.DISB._INT.5.1_6_PERCT."</f>
        <v>xxxx.E30A.REM.ADJ.CONSM.DISB._INT.5.1_6_PERCT.</v>
      </c>
      <c r="B673" s="88">
        <f>PAGE5!$K$90</f>
        <v>0</v>
      </c>
      <c r="C673" s="89">
        <f>PAGE5!$M$90</f>
        <v>0</v>
      </c>
    </row>
    <row r="674" spans="1:3" x14ac:dyDescent="0.35">
      <c r="A674" s="193" t="str">
        <f>$C$1&amp;".E30A.REM.CONSM.DISB._INT.5.1_6_PERCT.TTL."</f>
        <v>xxxx.E30A.REM.CONSM.DISB._INT.5.1_6_PERCT.TTL.</v>
      </c>
      <c r="B674" s="88">
        <f>PAGE5!$P$90</f>
        <v>0</v>
      </c>
      <c r="C674" s="89">
        <f>PAGE5!$R$90</f>
        <v>0</v>
      </c>
    </row>
    <row r="675" spans="1:3" x14ac:dyDescent="0.35">
      <c r="A675" s="193" t="str">
        <f>$C$1&amp;".E30A.REM.FR.CONSM.DISB._INT.6.1_7_PERCT."</f>
        <v>xxxx.E30A.REM.FR.CONSM.DISB._INT.6.1_7_PERCT.</v>
      </c>
      <c r="B675" s="88">
        <f>PAGE5!$C$91</f>
        <v>0</v>
      </c>
      <c r="C675" s="89">
        <f>PAGE5!$E$91</f>
        <v>0</v>
      </c>
    </row>
    <row r="676" spans="1:3" x14ac:dyDescent="0.35">
      <c r="A676" s="193" t="str">
        <f>$C$1&amp;".E30A.REM.VAR.CONSM.DISB._INT.6.1_7_PERCT."</f>
        <v>xxxx.E30A.REM.VAR.CONSM.DISB._INT.6.1_7_PERCT.</v>
      </c>
      <c r="B676" s="88">
        <f>PAGE5!$G$91</f>
        <v>0</v>
      </c>
      <c r="C676" s="89">
        <f>PAGE5!$I$91</f>
        <v>0</v>
      </c>
    </row>
    <row r="677" spans="1:3" x14ac:dyDescent="0.35">
      <c r="A677" s="193" t="str">
        <f>$C$1&amp;".E30A.REM.ADJ.CONSM.DISB._INT.6.1_7_PERCT."</f>
        <v>xxxx.E30A.REM.ADJ.CONSM.DISB._INT.6.1_7_PERCT.</v>
      </c>
      <c r="B677" s="88">
        <f>PAGE5!$K$91</f>
        <v>0</v>
      </c>
      <c r="C677" s="89">
        <f>PAGE5!$M$91</f>
        <v>0</v>
      </c>
    </row>
    <row r="678" spans="1:3" x14ac:dyDescent="0.35">
      <c r="A678" s="193" t="str">
        <f>$C$1&amp;".E30A.REM.CONSM.DISB._INT.6.1_7_PERCT.TTL."</f>
        <v>xxxx.E30A.REM.CONSM.DISB._INT.6.1_7_PERCT.TTL.</v>
      </c>
      <c r="B678" s="88">
        <f>PAGE5!$P$91</f>
        <v>0</v>
      </c>
      <c r="C678" s="89">
        <f>PAGE5!$R$91</f>
        <v>0</v>
      </c>
    </row>
    <row r="679" spans="1:3" x14ac:dyDescent="0.35">
      <c r="A679" s="193" t="str">
        <f>$C$1&amp;".E30A.REM.FR.CONSM.DISB._INT.7.1_8_PERCT."</f>
        <v>xxxx.E30A.REM.FR.CONSM.DISB._INT.7.1_8_PERCT.</v>
      </c>
      <c r="B679" s="88">
        <f>PAGE5!$C$92</f>
        <v>0</v>
      </c>
      <c r="C679" s="89">
        <f>PAGE5!$E$92</f>
        <v>0</v>
      </c>
    </row>
    <row r="680" spans="1:3" x14ac:dyDescent="0.35">
      <c r="A680" s="193" t="str">
        <f>$C$1&amp;".E30A.REM.VAR.CONSM.DISB._INT.7.1_8_PERCT."</f>
        <v>xxxx.E30A.REM.VAR.CONSM.DISB._INT.7.1_8_PERCT.</v>
      </c>
      <c r="B680" s="88">
        <f>PAGE5!$G$92</f>
        <v>0</v>
      </c>
      <c r="C680" s="89">
        <f>PAGE5!$I$92</f>
        <v>0</v>
      </c>
    </row>
    <row r="681" spans="1:3" x14ac:dyDescent="0.35">
      <c r="A681" s="193" t="str">
        <f>$C$1&amp;".E30A.REM.ADJ.CONSM.DISB._INT.7.1_8_PERCT."</f>
        <v>xxxx.E30A.REM.ADJ.CONSM.DISB._INT.7.1_8_PERCT.</v>
      </c>
      <c r="B681" s="88">
        <f>PAGE5!$K$92</f>
        <v>0</v>
      </c>
      <c r="C681" s="89">
        <f>PAGE5!$M$92</f>
        <v>0</v>
      </c>
    </row>
    <row r="682" spans="1:3" x14ac:dyDescent="0.35">
      <c r="A682" s="193" t="str">
        <f>$C$1&amp;".E30A.REM.CONSM.DISB._INT.7.1_8_PERCT.TTL."</f>
        <v>xxxx.E30A.REM.CONSM.DISB._INT.7.1_8_PERCT.TTL.</v>
      </c>
      <c r="B682" s="88">
        <f>PAGE5!$P$92</f>
        <v>0</v>
      </c>
      <c r="C682" s="89">
        <f>PAGE5!$R$92</f>
        <v>0</v>
      </c>
    </row>
    <row r="683" spans="1:3" x14ac:dyDescent="0.35">
      <c r="A683" s="193" t="str">
        <f>$C$1&amp;".E30A.REM.FR.CONSM.DISB._INT.8.1_9_PERCT."</f>
        <v>xxxx.E30A.REM.FR.CONSM.DISB._INT.8.1_9_PERCT.</v>
      </c>
      <c r="B683" s="88">
        <f>PAGE5!$C$93</f>
        <v>0</v>
      </c>
      <c r="C683" s="89">
        <f>PAGE5!$E$93</f>
        <v>0</v>
      </c>
    </row>
    <row r="684" spans="1:3" x14ac:dyDescent="0.35">
      <c r="A684" s="193" t="str">
        <f>$C$1&amp;".E30A.REM.VAR.CONSM.DISB._INT.8.1_9_PERCT."</f>
        <v>xxxx.E30A.REM.VAR.CONSM.DISB._INT.8.1_9_PERCT.</v>
      </c>
      <c r="B684" s="88">
        <f>PAGE5!$G$93</f>
        <v>0</v>
      </c>
      <c r="C684" s="89">
        <f>PAGE5!$I$93</f>
        <v>0</v>
      </c>
    </row>
    <row r="685" spans="1:3" x14ac:dyDescent="0.35">
      <c r="A685" s="193" t="str">
        <f>$C$1&amp;".E30A.REM.ADJ.CONSM.DISB._INT.8.1_9_PERCT."</f>
        <v>xxxx.E30A.REM.ADJ.CONSM.DISB._INT.8.1_9_PERCT.</v>
      </c>
      <c r="B685" s="88">
        <f>PAGE5!$K$93</f>
        <v>0</v>
      </c>
      <c r="C685" s="89">
        <f>PAGE5!$M$93</f>
        <v>0</v>
      </c>
    </row>
    <row r="686" spans="1:3" x14ac:dyDescent="0.35">
      <c r="A686" s="193" t="str">
        <f>$C$1&amp;".E30A.REM.CONSM.DISB._INT.8.1_9_PERCT.TTL."</f>
        <v>xxxx.E30A.REM.CONSM.DISB._INT.8.1_9_PERCT.TTL.</v>
      </c>
      <c r="B686" s="88">
        <f>PAGE5!$P$93</f>
        <v>0</v>
      </c>
      <c r="C686" s="89">
        <f>PAGE5!$R$93</f>
        <v>0</v>
      </c>
    </row>
    <row r="687" spans="1:3" x14ac:dyDescent="0.35">
      <c r="A687" s="193" t="str">
        <f>$C$1&amp;".E30A.REM.FR.CONSM.DISB._INT.9.1_10_PERCT."</f>
        <v>xxxx.E30A.REM.FR.CONSM.DISB._INT.9.1_10_PERCT.</v>
      </c>
      <c r="B687" s="88">
        <f>PAGE5!$C$94</f>
        <v>0</v>
      </c>
      <c r="C687" s="89">
        <f>PAGE5!$E$94</f>
        <v>0</v>
      </c>
    </row>
    <row r="688" spans="1:3" x14ac:dyDescent="0.35">
      <c r="A688" s="193" t="str">
        <f>$C$1&amp;".E30A.REM.VAR.CONSM.DISB._INT.9.1_10_PERCT."</f>
        <v>xxxx.E30A.REM.VAR.CONSM.DISB._INT.9.1_10_PERCT.</v>
      </c>
      <c r="B688" s="88">
        <f>PAGE5!$G$94</f>
        <v>0</v>
      </c>
      <c r="C688" s="89">
        <f>PAGE5!$I$94</f>
        <v>0</v>
      </c>
    </row>
    <row r="689" spans="1:3" x14ac:dyDescent="0.35">
      <c r="A689" s="193" t="str">
        <f>$C$1&amp;".E30A.REM.ADJ.CONSM.DISB._INT.9.1_10_PERCT."</f>
        <v>xxxx.E30A.REM.ADJ.CONSM.DISB._INT.9.1_10_PERCT.</v>
      </c>
      <c r="B689" s="88">
        <f>PAGE5!$K$94</f>
        <v>0</v>
      </c>
      <c r="C689" s="89">
        <f>PAGE5!$M$94</f>
        <v>0</v>
      </c>
    </row>
    <row r="690" spans="1:3" x14ac:dyDescent="0.35">
      <c r="A690" s="193" t="str">
        <f>$C$1&amp;".E30A.REM.CONSM.DISB._INT.9.1_10_PERCT.TTL."</f>
        <v>xxxx.E30A.REM.CONSM.DISB._INT.9.1_10_PERCT.TTL.</v>
      </c>
      <c r="B690" s="88">
        <f>PAGE5!$P$94</f>
        <v>0</v>
      </c>
      <c r="C690" s="89">
        <f>PAGE5!$R$94</f>
        <v>0</v>
      </c>
    </row>
    <row r="691" spans="1:3" x14ac:dyDescent="0.35">
      <c r="A691" s="193" t="str">
        <f>$C$1&amp;".E30A.REM.FR.CONSM.DISB._INT.10.1_11_PERCT."</f>
        <v>xxxx.E30A.REM.FR.CONSM.DISB._INT.10.1_11_PERCT.</v>
      </c>
      <c r="B691" s="88">
        <f>PAGE5!$C$95</f>
        <v>0</v>
      </c>
      <c r="C691" s="89">
        <f>PAGE5!$E$95</f>
        <v>0</v>
      </c>
    </row>
    <row r="692" spans="1:3" x14ac:dyDescent="0.35">
      <c r="A692" s="193" t="str">
        <f>$C$1&amp;".E30A.REM.VAR.CONSM.DISB._INT.10.1_11_PERCT."</f>
        <v>xxxx.E30A.REM.VAR.CONSM.DISB._INT.10.1_11_PERCT.</v>
      </c>
      <c r="B692" s="88">
        <f>PAGE5!$G$95</f>
        <v>0</v>
      </c>
      <c r="C692" s="89">
        <f>PAGE5!$I$95</f>
        <v>0</v>
      </c>
    </row>
    <row r="693" spans="1:3" x14ac:dyDescent="0.35">
      <c r="A693" s="193" t="str">
        <f>$C$1&amp;".E30A.REM.ADJ.CONSM.DISB._INT.10.1_11_PERCT."</f>
        <v>xxxx.E30A.REM.ADJ.CONSM.DISB._INT.10.1_11_PERCT.</v>
      </c>
      <c r="B693" s="88">
        <f>PAGE5!$K$95</f>
        <v>0</v>
      </c>
      <c r="C693" s="89">
        <f>PAGE5!$M$95</f>
        <v>0</v>
      </c>
    </row>
    <row r="694" spans="1:3" x14ac:dyDescent="0.35">
      <c r="A694" s="193" t="str">
        <f>$C$1&amp;".E30A.REM.CONSM.DISB._INT.10.1_11_PERCT.TTL."</f>
        <v>xxxx.E30A.REM.CONSM.DISB._INT.10.1_11_PERCT.TTL.</v>
      </c>
      <c r="B694" s="88">
        <f>PAGE5!$P$95</f>
        <v>0</v>
      </c>
      <c r="C694" s="89">
        <f>PAGE5!$R$95</f>
        <v>0</v>
      </c>
    </row>
    <row r="695" spans="1:3" x14ac:dyDescent="0.35">
      <c r="A695" s="193" t="str">
        <f>$C$1&amp;".E30A.REM.FR.CONSM.DISB._INT.11.1_12_PERCT."</f>
        <v>xxxx.E30A.REM.FR.CONSM.DISB._INT.11.1_12_PERCT.</v>
      </c>
      <c r="B695" s="88">
        <f>PAGE5!$C$96</f>
        <v>0</v>
      </c>
      <c r="C695" s="89">
        <f>PAGE5!$E$96</f>
        <v>0</v>
      </c>
    </row>
    <row r="696" spans="1:3" x14ac:dyDescent="0.35">
      <c r="A696" s="193" t="str">
        <f>$C$1&amp;".E30A.REM.VAR.CONSM.DISB._INT.11.1_12_PERCT."</f>
        <v>xxxx.E30A.REM.VAR.CONSM.DISB._INT.11.1_12_PERCT.</v>
      </c>
      <c r="B696" s="88">
        <f>PAGE5!$G$96</f>
        <v>0</v>
      </c>
      <c r="C696" s="89">
        <f>PAGE5!$I$96</f>
        <v>0</v>
      </c>
    </row>
    <row r="697" spans="1:3" x14ac:dyDescent="0.35">
      <c r="A697" s="193" t="str">
        <f>$C$1&amp;".E30A.REM.ADJ.CONSM.DISB._INT.11.1_12_PERCT."</f>
        <v>xxxx.E30A.REM.ADJ.CONSM.DISB._INT.11.1_12_PERCT.</v>
      </c>
      <c r="B697" s="88">
        <f>PAGE5!$K$96</f>
        <v>0</v>
      </c>
      <c r="C697" s="89">
        <f>PAGE5!$M$96</f>
        <v>0</v>
      </c>
    </row>
    <row r="698" spans="1:3" x14ac:dyDescent="0.35">
      <c r="A698" s="193" t="str">
        <f>$C$1&amp;".E30A.REM.CONSM.DISB._INT.11.1_12_PERCT.TTL."</f>
        <v>xxxx.E30A.REM.CONSM.DISB._INT.11.1_12_PERCT.TTL.</v>
      </c>
      <c r="B698" s="88">
        <f>PAGE5!$P$96</f>
        <v>0</v>
      </c>
      <c r="C698" s="89">
        <f>PAGE5!$R$96</f>
        <v>0</v>
      </c>
    </row>
    <row r="699" spans="1:3" x14ac:dyDescent="0.35">
      <c r="A699" s="193" t="str">
        <f>$C$1&amp;".E30A.REM.FR.CONSM.DISB._INT.12.1_13_PERCT."</f>
        <v>xxxx.E30A.REM.FR.CONSM.DISB._INT.12.1_13_PERCT.</v>
      </c>
      <c r="B699" s="88">
        <f>PAGE5!$C$97</f>
        <v>0</v>
      </c>
      <c r="C699" s="89">
        <f>PAGE5!$E$97</f>
        <v>0</v>
      </c>
    </row>
    <row r="700" spans="1:3" x14ac:dyDescent="0.35">
      <c r="A700" s="193" t="str">
        <f>$C$1&amp;".E30A.REM.VAR.CONSM.DISB._INT.12.1_13_PERCT."</f>
        <v>xxxx.E30A.REM.VAR.CONSM.DISB._INT.12.1_13_PERCT.</v>
      </c>
      <c r="B700" s="88">
        <f>PAGE5!$G$97</f>
        <v>0</v>
      </c>
      <c r="C700" s="89">
        <f>PAGE5!$I$97</f>
        <v>0</v>
      </c>
    </row>
    <row r="701" spans="1:3" x14ac:dyDescent="0.35">
      <c r="A701" s="193" t="str">
        <f>$C$1&amp;".E30A.REM.ADJ.CONSM.DISB._INT.12.1_13_PERCT."</f>
        <v>xxxx.E30A.REM.ADJ.CONSM.DISB._INT.12.1_13_PERCT.</v>
      </c>
      <c r="B701" s="88">
        <f>PAGE5!$K$97</f>
        <v>0</v>
      </c>
      <c r="C701" s="89">
        <f>PAGE5!$M$97</f>
        <v>0</v>
      </c>
    </row>
    <row r="702" spans="1:3" x14ac:dyDescent="0.35">
      <c r="A702" s="193" t="str">
        <f>$C$1&amp;".E30A.REM.CONSM.DISB._INT.12.1_13_PERCT.TTL."</f>
        <v>xxxx.E30A.REM.CONSM.DISB._INT.12.1_13_PERCT.TTL.</v>
      </c>
      <c r="B702" s="88">
        <f>PAGE5!$P$97</f>
        <v>0</v>
      </c>
      <c r="C702" s="89">
        <f>PAGE5!$R$97</f>
        <v>0</v>
      </c>
    </row>
    <row r="703" spans="1:3" x14ac:dyDescent="0.35">
      <c r="A703" s="193" t="str">
        <f>$C$1&amp;".E30A.REM.FR.CONSM.DISB._INT.13.1_14_PERCT."</f>
        <v>xxxx.E30A.REM.FR.CONSM.DISB._INT.13.1_14_PERCT.</v>
      </c>
      <c r="B703" s="88">
        <f>PAGE5!$C$98</f>
        <v>0</v>
      </c>
      <c r="C703" s="89">
        <f>PAGE5!$E$98</f>
        <v>0</v>
      </c>
    </row>
    <row r="704" spans="1:3" x14ac:dyDescent="0.35">
      <c r="A704" s="193" t="str">
        <f>$C$1&amp;".E30A.REM.VAR.CONSM.DISB._INT.13.1_14_PERCT."</f>
        <v>xxxx.E30A.REM.VAR.CONSM.DISB._INT.13.1_14_PERCT.</v>
      </c>
      <c r="B704" s="88">
        <f>PAGE5!$G$98</f>
        <v>0</v>
      </c>
      <c r="C704" s="89">
        <f>PAGE5!$I$98</f>
        <v>0</v>
      </c>
    </row>
    <row r="705" spans="1:3" x14ac:dyDescent="0.35">
      <c r="A705" s="193" t="str">
        <f>$C$1&amp;".E30A.REM.ADJ.CONSM.DISB._INT.13.1_14_PERCT."</f>
        <v>xxxx.E30A.REM.ADJ.CONSM.DISB._INT.13.1_14_PERCT.</v>
      </c>
      <c r="B705" s="88">
        <f>PAGE5!$K$98</f>
        <v>0</v>
      </c>
      <c r="C705" s="89">
        <f>PAGE5!$M$98</f>
        <v>0</v>
      </c>
    </row>
    <row r="706" spans="1:3" x14ac:dyDescent="0.35">
      <c r="A706" s="193" t="str">
        <f>$C$1&amp;".E30A.REM.CONSM.DISB._INT.13.1_14_PERCT.TTL."</f>
        <v>xxxx.E30A.REM.CONSM.DISB._INT.13.1_14_PERCT.TTL.</v>
      </c>
      <c r="B706" s="88">
        <f>PAGE5!$P$98</f>
        <v>0</v>
      </c>
      <c r="C706" s="89">
        <f>PAGE5!$R$98</f>
        <v>0</v>
      </c>
    </row>
    <row r="707" spans="1:3" x14ac:dyDescent="0.35">
      <c r="A707" s="193" t="str">
        <f>$C$1&amp;".E30A.REM.FR.CONSM.DISB._INT.14.1_15_PERCT."</f>
        <v>xxxx.E30A.REM.FR.CONSM.DISB._INT.14.1_15_PERCT.</v>
      </c>
      <c r="B707" s="88">
        <f>PAGE5!$C$99</f>
        <v>0</v>
      </c>
      <c r="C707" s="89">
        <f>PAGE5!$E$99</f>
        <v>0</v>
      </c>
    </row>
    <row r="708" spans="1:3" x14ac:dyDescent="0.35">
      <c r="A708" s="193" t="str">
        <f>$C$1&amp;".E30A.REM.VAR.CONSM.DISB._INT.14.1_15_PERCT."</f>
        <v>xxxx.E30A.REM.VAR.CONSM.DISB._INT.14.1_15_PERCT.</v>
      </c>
      <c r="B708" s="88">
        <f>PAGE5!$G$99</f>
        <v>0</v>
      </c>
      <c r="C708" s="89">
        <f>PAGE5!$I$99</f>
        <v>0</v>
      </c>
    </row>
    <row r="709" spans="1:3" x14ac:dyDescent="0.35">
      <c r="A709" s="193" t="str">
        <f>$C$1&amp;".E30A.REM.ADJ.CONSM.DISB._INT.14.1_15_PERCT."</f>
        <v>xxxx.E30A.REM.ADJ.CONSM.DISB._INT.14.1_15_PERCT.</v>
      </c>
      <c r="B709" s="88">
        <f>PAGE5!$K$99</f>
        <v>0</v>
      </c>
      <c r="C709" s="89">
        <f>PAGE5!$M$99</f>
        <v>0</v>
      </c>
    </row>
    <row r="710" spans="1:3" x14ac:dyDescent="0.35">
      <c r="A710" s="193" t="str">
        <f>$C$1&amp;".E30A.REM.CONSM.DISB._INT.14.1_15_PERCT.TTL."</f>
        <v>xxxx.E30A.REM.CONSM.DISB._INT.14.1_15_PERCT.TTL.</v>
      </c>
      <c r="B710" s="88">
        <f>PAGE5!$P$99</f>
        <v>0</v>
      </c>
      <c r="C710" s="89">
        <f>PAGE5!$R$99</f>
        <v>0</v>
      </c>
    </row>
    <row r="711" spans="1:3" x14ac:dyDescent="0.35">
      <c r="A711" s="193" t="str">
        <f>$C$1&amp;".E30A.REM.FR.CONSM.DISB._INT.OVR_15.1_PERCT."</f>
        <v>xxxx.E30A.REM.FR.CONSM.DISB._INT.OVR_15.1_PERCT.</v>
      </c>
      <c r="B711" s="88">
        <f>PAGE5!$C$100</f>
        <v>0</v>
      </c>
      <c r="C711" s="89">
        <f>PAGE5!$E$100</f>
        <v>0</v>
      </c>
    </row>
    <row r="712" spans="1:3" x14ac:dyDescent="0.35">
      <c r="A712" s="193" t="str">
        <f>$C$1&amp;".E30A.REM.VAR.CONSM.DISB._INT.OVR_15.1_PERCT."</f>
        <v>xxxx.E30A.REM.VAR.CONSM.DISB._INT.OVR_15.1_PERCT.</v>
      </c>
      <c r="B712" s="88">
        <f>PAGE5!$G$100</f>
        <v>0</v>
      </c>
      <c r="C712" s="89">
        <f>PAGE5!$I$100</f>
        <v>0</v>
      </c>
    </row>
    <row r="713" spans="1:3" x14ac:dyDescent="0.35">
      <c r="A713" s="193" t="str">
        <f>$C$1&amp;".E30A.REM.ADJ.CONSM.DISB._INT.OVR_15.1_PERCT."</f>
        <v>xxxx.E30A.REM.ADJ.CONSM.DISB._INT.OVR_15.1_PERCT.</v>
      </c>
      <c r="B713" s="88">
        <f>PAGE5!$K$100</f>
        <v>0</v>
      </c>
      <c r="C713" s="89">
        <f>PAGE5!$M$100</f>
        <v>0</v>
      </c>
    </row>
    <row r="714" spans="1:3" x14ac:dyDescent="0.35">
      <c r="A714" s="193" t="str">
        <f>$C$1&amp;".E30A.REM.CONSM.DISB._INT.OVR_15.1_PERCT.TTL."</f>
        <v>xxxx.E30A.REM.CONSM.DISB._INT.OVR_15.1_PERCT.TTL.</v>
      </c>
      <c r="B714" s="88">
        <f>PAGE5!$P$100</f>
        <v>0</v>
      </c>
      <c r="C714" s="89">
        <f>PAGE5!$R$100</f>
        <v>0</v>
      </c>
    </row>
    <row r="715" spans="1:3" x14ac:dyDescent="0.35">
      <c r="A715" s="196" t="str">
        <f>$C$1&amp;".E30A.REM.FR.DISB.TTL"</f>
        <v>xxxx.E30A.REM.FR.DISB.TTL</v>
      </c>
      <c r="B715" s="98">
        <f>PAGE5!$C$102</f>
        <v>0</v>
      </c>
      <c r="C715" s="99">
        <f>PAGE5!$E$102</f>
        <v>0</v>
      </c>
    </row>
    <row r="716" spans="1:3" x14ac:dyDescent="0.35">
      <c r="A716" s="196" t="str">
        <f>$C$1&amp;".E30A.REM.VAR.DISB.TTL"</f>
        <v>xxxx.E30A.REM.VAR.DISB.TTL</v>
      </c>
      <c r="B716" s="98">
        <f>PAGE5!$G$102</f>
        <v>0</v>
      </c>
      <c r="C716" s="99">
        <f>PAGE5!$I$102</f>
        <v>0</v>
      </c>
    </row>
    <row r="717" spans="1:3" x14ac:dyDescent="0.35">
      <c r="A717" s="196" t="str">
        <f>$C$1&amp;".E30A.REM.ADJ.DISB.TTL"</f>
        <v>xxxx.E30A.REM.ADJ.DISB.TTL</v>
      </c>
      <c r="B717" s="98">
        <f>PAGE5!$K$102</f>
        <v>0</v>
      </c>
      <c r="C717" s="99">
        <f>PAGE5!$M$102</f>
        <v>0</v>
      </c>
    </row>
    <row r="718" spans="1:3" x14ac:dyDescent="0.35">
      <c r="A718" s="196" t="str">
        <f>$C$1&amp;".E30A.REM.DISB._GRNT.AGG_TTL..."</f>
        <v>xxxx.E30A.REM.DISB._GRNT.AGG_TTL...</v>
      </c>
      <c r="B718" s="98">
        <f>PAGE5!$P$102</f>
        <v>0</v>
      </c>
      <c r="C718" s="99">
        <f>PAGE5!$R$102</f>
        <v>0</v>
      </c>
    </row>
    <row r="719" spans="1:3" x14ac:dyDescent="0.35">
      <c r="A719" s="195" t="s">
        <v>799</v>
      </c>
      <c r="B719" s="93" t="s">
        <v>699</v>
      </c>
      <c r="C719" s="93" t="s">
        <v>700</v>
      </c>
    </row>
    <row r="720" spans="1:3" x14ac:dyDescent="0.35">
      <c r="A720" s="193" t="str">
        <f>$C$1&amp;".E30A.REM.FR.PBSEC.OS._INT.0_3_PERCT"</f>
        <v>xxxx.E30A.REM.FR.PBSEC.OS._INT.0_3_PERCT</v>
      </c>
      <c r="B720" s="88">
        <f>PAGE6!$C$19</f>
        <v>0</v>
      </c>
      <c r="C720" s="89">
        <f>PAGE6!$E$19</f>
        <v>0</v>
      </c>
    </row>
    <row r="721" spans="1:3" x14ac:dyDescent="0.35">
      <c r="A721" s="193" t="str">
        <f>$C$1&amp;".E30A.REM.VAR.PBSEC.OS._INT.0_3_PERCT"</f>
        <v>xxxx.E30A.REM.VAR.PBSEC.OS._INT.0_3_PERCT</v>
      </c>
      <c r="B721" s="88">
        <f>PAGE6!$G$19</f>
        <v>0</v>
      </c>
      <c r="C721" s="89">
        <f>PAGE6!$I$19</f>
        <v>0</v>
      </c>
    </row>
    <row r="722" spans="1:3" x14ac:dyDescent="0.35">
      <c r="A722" s="193" t="str">
        <f>$C$1&amp;".E30A.REM.ADJ.PBSEC.OS._INT.0_3_PERCT"</f>
        <v>xxxx.E30A.REM.ADJ.PBSEC.OS._INT.0_3_PERCT</v>
      </c>
      <c r="B722" s="88">
        <f>PAGE6!$K$19</f>
        <v>0</v>
      </c>
      <c r="C722" s="89">
        <f>PAGE6!$M$19</f>
        <v>0</v>
      </c>
    </row>
    <row r="723" spans="1:3" x14ac:dyDescent="0.35">
      <c r="A723" s="193" t="str">
        <f>$C$1&amp;".E30A.REM.PBSEC.OS._INT.0_3_PERCT.TTL"</f>
        <v>xxxx.E30A.REM.PBSEC.OS._INT.0_3_PERCT.TTL</v>
      </c>
      <c r="B723" s="88">
        <f>PAGE6!$P$19</f>
        <v>0</v>
      </c>
      <c r="C723" s="89">
        <f>PAGE6!$R$19</f>
        <v>0</v>
      </c>
    </row>
    <row r="724" spans="1:3" x14ac:dyDescent="0.35">
      <c r="A724" s="193" t="str">
        <f>$C$1&amp;".E30A.REM.FR.PBSEC.OS._INT.3.1_4_PERCT"</f>
        <v>xxxx.E30A.REM.FR.PBSEC.OS._INT.3.1_4_PERCT</v>
      </c>
      <c r="B724" s="88">
        <f>PAGE6!$C$20</f>
        <v>0</v>
      </c>
      <c r="C724" s="89">
        <f>PAGE6!$E$20</f>
        <v>0</v>
      </c>
    </row>
    <row r="725" spans="1:3" x14ac:dyDescent="0.35">
      <c r="A725" s="193" t="str">
        <f>$C$1&amp;".E30A.REM.VAR.PBSEC.OS._INT.3.1_4_PERCT"</f>
        <v>xxxx.E30A.REM.VAR.PBSEC.OS._INT.3.1_4_PERCT</v>
      </c>
      <c r="B725" s="88">
        <f>PAGE6!$G$20</f>
        <v>0</v>
      </c>
      <c r="C725" s="89">
        <f>PAGE6!$I$20</f>
        <v>0</v>
      </c>
    </row>
    <row r="726" spans="1:3" x14ac:dyDescent="0.35">
      <c r="A726" s="193" t="str">
        <f>$C$1&amp;".E30A.REM.ADJ.PBSEC.OS._INT.3.1_4_PERCT"</f>
        <v>xxxx.E30A.REM.ADJ.PBSEC.OS._INT.3.1_4_PERCT</v>
      </c>
      <c r="B726" s="88">
        <f>PAGE6!$K$20</f>
        <v>0</v>
      </c>
      <c r="C726" s="89">
        <f>PAGE6!$M$20</f>
        <v>0</v>
      </c>
    </row>
    <row r="727" spans="1:3" x14ac:dyDescent="0.35">
      <c r="A727" s="193" t="str">
        <f>$C$1&amp;".E30A.REM.PBSEC.OS._INT.3.1_4_PERCT.TTL"</f>
        <v>xxxx.E30A.REM.PBSEC.OS._INT.3.1_4_PERCT.TTL</v>
      </c>
      <c r="B727" s="88">
        <f>PAGE6!$P$20</f>
        <v>0</v>
      </c>
      <c r="C727" s="89">
        <f>PAGE6!$R$20</f>
        <v>0</v>
      </c>
    </row>
    <row r="728" spans="1:3" x14ac:dyDescent="0.35">
      <c r="A728" s="193" t="str">
        <f>$C$1&amp;".E30A.REM.FR.PBSEC.OS._INT.4.1_5_PERCT"</f>
        <v>xxxx.E30A.REM.FR.PBSEC.OS._INT.4.1_5_PERCT</v>
      </c>
      <c r="B728" s="88">
        <f>PAGE6!$C$21</f>
        <v>0</v>
      </c>
      <c r="C728" s="89">
        <f>PAGE6!$E$21</f>
        <v>0</v>
      </c>
    </row>
    <row r="729" spans="1:3" x14ac:dyDescent="0.35">
      <c r="A729" s="193" t="str">
        <f>$C$1&amp;".E30A.REM.VAR.PBSEC.OS._INT.4.1_5_PERCT"</f>
        <v>xxxx.E30A.REM.VAR.PBSEC.OS._INT.4.1_5_PERCT</v>
      </c>
      <c r="B729" s="88">
        <f>PAGE6!$G$21</f>
        <v>0</v>
      </c>
      <c r="C729" s="89">
        <f>PAGE6!$I$21</f>
        <v>0</v>
      </c>
    </row>
    <row r="730" spans="1:3" x14ac:dyDescent="0.35">
      <c r="A730" s="193" t="str">
        <f>$C$1&amp;".E30A.REM.ADJ.PBSEC.OS._INT.4.1_5_PERCT"</f>
        <v>xxxx.E30A.REM.ADJ.PBSEC.OS._INT.4.1_5_PERCT</v>
      </c>
      <c r="B730" s="88">
        <f>PAGE6!$K$21</f>
        <v>0</v>
      </c>
      <c r="C730" s="89">
        <f>PAGE6!$M$21</f>
        <v>0</v>
      </c>
    </row>
    <row r="731" spans="1:3" x14ac:dyDescent="0.35">
      <c r="A731" s="193" t="str">
        <f>$C$1&amp;".E30A.REM.PBSEC.OS._INT.4.1_5_PERCT.TTL"</f>
        <v>xxxx.E30A.REM.PBSEC.OS._INT.4.1_5_PERCT.TTL</v>
      </c>
      <c r="B731" s="88">
        <f>PAGE6!$P$21</f>
        <v>0</v>
      </c>
      <c r="C731" s="89">
        <f>PAGE6!$R$21</f>
        <v>0</v>
      </c>
    </row>
    <row r="732" spans="1:3" x14ac:dyDescent="0.35">
      <c r="A732" s="193" t="str">
        <f>$C$1&amp;".E30A.REM.FR.PBSEC.OS._INT.5.1_6_PERCT"</f>
        <v>xxxx.E30A.REM.FR.PBSEC.OS._INT.5.1_6_PERCT</v>
      </c>
      <c r="B732" s="88">
        <f>PAGE6!$C$22</f>
        <v>0</v>
      </c>
      <c r="C732" s="89">
        <f>PAGE6!$E$22</f>
        <v>0</v>
      </c>
    </row>
    <row r="733" spans="1:3" x14ac:dyDescent="0.35">
      <c r="A733" s="193" t="str">
        <f>$C$1&amp;".E30A.REM.VAR.PBSEC.OS._INT.5.1_6_PERCT"</f>
        <v>xxxx.E30A.REM.VAR.PBSEC.OS._INT.5.1_6_PERCT</v>
      </c>
      <c r="B733" s="88">
        <f>PAGE6!$G$22</f>
        <v>0</v>
      </c>
      <c r="C733" s="89">
        <f>PAGE6!$I$22</f>
        <v>0</v>
      </c>
    </row>
    <row r="734" spans="1:3" x14ac:dyDescent="0.35">
      <c r="A734" s="193" t="str">
        <f>$C$1&amp;".E30A.REM.ADJ.PBSEC.OS._INT.5.1_6_PERCT"</f>
        <v>xxxx.E30A.REM.ADJ.PBSEC.OS._INT.5.1_6_PERCT</v>
      </c>
      <c r="B734" s="88">
        <f>PAGE6!$K$22</f>
        <v>0</v>
      </c>
      <c r="C734" s="89">
        <f>PAGE6!$M$22</f>
        <v>0</v>
      </c>
    </row>
    <row r="735" spans="1:3" x14ac:dyDescent="0.35">
      <c r="A735" s="193" t="str">
        <f>$C$1&amp;".E30A.REM.PBSEC.OS._INT.5.1_6_PERCT.TTL"</f>
        <v>xxxx.E30A.REM.PBSEC.OS._INT.5.1_6_PERCT.TTL</v>
      </c>
      <c r="B735" s="88">
        <f>PAGE6!$P$22</f>
        <v>0</v>
      </c>
      <c r="C735" s="89">
        <f>PAGE6!$R$22</f>
        <v>0</v>
      </c>
    </row>
    <row r="736" spans="1:3" x14ac:dyDescent="0.35">
      <c r="A736" s="193" t="str">
        <f>$C$1&amp;".E30A.REM.FR.PBSEC.OS._INT.6.1_7_PERCT"</f>
        <v>xxxx.E30A.REM.FR.PBSEC.OS._INT.6.1_7_PERCT</v>
      </c>
      <c r="B736" s="88">
        <f>PAGE6!$C$23</f>
        <v>0</v>
      </c>
      <c r="C736" s="89">
        <f>PAGE6!$E$23</f>
        <v>0</v>
      </c>
    </row>
    <row r="737" spans="1:3" x14ac:dyDescent="0.35">
      <c r="A737" s="193" t="str">
        <f>$C$1&amp;".E30A.REM.VAR.PBSEC.OS._INT.6.1_7_PERCT"</f>
        <v>xxxx.E30A.REM.VAR.PBSEC.OS._INT.6.1_7_PERCT</v>
      </c>
      <c r="B737" s="88">
        <f>PAGE6!$G$23</f>
        <v>0</v>
      </c>
      <c r="C737" s="89">
        <f>PAGE6!$I$23</f>
        <v>0</v>
      </c>
    </row>
    <row r="738" spans="1:3" x14ac:dyDescent="0.35">
      <c r="A738" s="193" t="str">
        <f>$C$1&amp;".E30A.REM.ADJ.PBSEC.OS._INT.6.1_7_PERCT"</f>
        <v>xxxx.E30A.REM.ADJ.PBSEC.OS._INT.6.1_7_PERCT</v>
      </c>
      <c r="B738" s="88">
        <f>PAGE6!$K$23</f>
        <v>0</v>
      </c>
      <c r="C738" s="89">
        <f>PAGE6!$M$23</f>
        <v>0</v>
      </c>
    </row>
    <row r="739" spans="1:3" x14ac:dyDescent="0.35">
      <c r="A739" s="193" t="str">
        <f>$C$1&amp;".E30A.REM.PBSEC.OS._INT.6.1_7_PERCT.TTL"</f>
        <v>xxxx.E30A.REM.PBSEC.OS._INT.6.1_7_PERCT.TTL</v>
      </c>
      <c r="B739" s="88">
        <f>PAGE6!$P$23</f>
        <v>0</v>
      </c>
      <c r="C739" s="89">
        <f>PAGE6!$R$23</f>
        <v>0</v>
      </c>
    </row>
    <row r="740" spans="1:3" x14ac:dyDescent="0.35">
      <c r="A740" s="193" t="str">
        <f>$C$1&amp;".E30A.REM.FR.PBSEC.OS._INT.7.1_8_PERCT"</f>
        <v>xxxx.E30A.REM.FR.PBSEC.OS._INT.7.1_8_PERCT</v>
      </c>
      <c r="B740" s="88">
        <f>PAGE6!$C$24</f>
        <v>0</v>
      </c>
      <c r="C740" s="89">
        <f>PAGE6!$E$24</f>
        <v>0</v>
      </c>
    </row>
    <row r="741" spans="1:3" x14ac:dyDescent="0.35">
      <c r="A741" s="193" t="str">
        <f>$C$1&amp;".E30A.REM.VAR.PBSEC.OS._INT.7.1_8_PERCT"</f>
        <v>xxxx.E30A.REM.VAR.PBSEC.OS._INT.7.1_8_PERCT</v>
      </c>
      <c r="B741" s="88">
        <f>PAGE6!$G$24</f>
        <v>0</v>
      </c>
      <c r="C741" s="89">
        <f>PAGE6!$I$24</f>
        <v>0</v>
      </c>
    </row>
    <row r="742" spans="1:3" x14ac:dyDescent="0.35">
      <c r="A742" s="193" t="str">
        <f>$C$1&amp;".E30A.REM.ADJ.PBSEC.OS._INT.7.1_8_PERCT"</f>
        <v>xxxx.E30A.REM.ADJ.PBSEC.OS._INT.7.1_8_PERCT</v>
      </c>
      <c r="B742" s="88">
        <f>PAGE6!$K$24</f>
        <v>0</v>
      </c>
      <c r="C742" s="89">
        <f>PAGE6!$M$24</f>
        <v>0</v>
      </c>
    </row>
    <row r="743" spans="1:3" x14ac:dyDescent="0.35">
      <c r="A743" s="193" t="str">
        <f>$C$1&amp;".E30A.REM.PBSEC.OS._INT.7.1_8_PERCT.TTL"</f>
        <v>xxxx.E30A.REM.PBSEC.OS._INT.7.1_8_PERCT.TTL</v>
      </c>
      <c r="B743" s="88">
        <f>PAGE6!$P$24</f>
        <v>0</v>
      </c>
      <c r="C743" s="89">
        <f>PAGE6!$R$24</f>
        <v>0</v>
      </c>
    </row>
    <row r="744" spans="1:3" x14ac:dyDescent="0.35">
      <c r="A744" s="193" t="str">
        <f>$C$1&amp;".E30A.REM.FR.PBSEC.OS._INT.8.1_9_PERCT"</f>
        <v>xxxx.E30A.REM.FR.PBSEC.OS._INT.8.1_9_PERCT</v>
      </c>
      <c r="B744" s="88">
        <f>PAGE6!$C$25</f>
        <v>0</v>
      </c>
      <c r="C744" s="89">
        <f>PAGE6!$E$25</f>
        <v>0</v>
      </c>
    </row>
    <row r="745" spans="1:3" x14ac:dyDescent="0.35">
      <c r="A745" s="193" t="str">
        <f>$C$1&amp;".E30A.REM.VAR.PBSEC.OS._INT.8.1_9_PERCT"</f>
        <v>xxxx.E30A.REM.VAR.PBSEC.OS._INT.8.1_9_PERCT</v>
      </c>
      <c r="B745" s="88">
        <f>PAGE6!$G$25</f>
        <v>0</v>
      </c>
      <c r="C745" s="89">
        <f>PAGE6!$I$25</f>
        <v>0</v>
      </c>
    </row>
    <row r="746" spans="1:3" x14ac:dyDescent="0.35">
      <c r="A746" s="193" t="str">
        <f>$C$1&amp;".E30A.REM.ADJ.PBSEC.OS._INT.8.1_9_PERCT"</f>
        <v>xxxx.E30A.REM.ADJ.PBSEC.OS._INT.8.1_9_PERCT</v>
      </c>
      <c r="B746" s="88">
        <f>PAGE6!$K$25</f>
        <v>0</v>
      </c>
      <c r="C746" s="89">
        <f>PAGE6!$M$25</f>
        <v>0</v>
      </c>
    </row>
    <row r="747" spans="1:3" x14ac:dyDescent="0.35">
      <c r="A747" s="193" t="str">
        <f>$C$1&amp;".E30A.REM.PBSEC.OS._INT.8.1_9_PERCT.TTL"</f>
        <v>xxxx.E30A.REM.PBSEC.OS._INT.8.1_9_PERCT.TTL</v>
      </c>
      <c r="B747" s="88">
        <f>PAGE6!$P$25</f>
        <v>0</v>
      </c>
      <c r="C747" s="89">
        <f>PAGE6!$R$25</f>
        <v>0</v>
      </c>
    </row>
    <row r="748" spans="1:3" x14ac:dyDescent="0.35">
      <c r="A748" s="193" t="str">
        <f>$C$1&amp;".E30A.REM.FR.PBSEC.OS._INT.9.1_10_PERCT"</f>
        <v>xxxx.E30A.REM.FR.PBSEC.OS._INT.9.1_10_PERCT</v>
      </c>
      <c r="B748" s="88">
        <f>PAGE6!$C$26</f>
        <v>0</v>
      </c>
      <c r="C748" s="89">
        <f>PAGE6!$E$26</f>
        <v>0</v>
      </c>
    </row>
    <row r="749" spans="1:3" x14ac:dyDescent="0.35">
      <c r="A749" s="193" t="str">
        <f>$C$1&amp;".E30A.REM.VAR.PBSEC.OS._INT.9.1_10_PERCT"</f>
        <v>xxxx.E30A.REM.VAR.PBSEC.OS._INT.9.1_10_PERCT</v>
      </c>
      <c r="B749" s="88">
        <f>PAGE6!$G$26</f>
        <v>0</v>
      </c>
      <c r="C749" s="89">
        <f>PAGE6!$I$26</f>
        <v>0</v>
      </c>
    </row>
    <row r="750" spans="1:3" x14ac:dyDescent="0.35">
      <c r="A750" s="193" t="str">
        <f>$C$1&amp;".E30A.REM.ADJ.PBSEC.OS._INT.9.1_10_PERCT"</f>
        <v>xxxx.E30A.REM.ADJ.PBSEC.OS._INT.9.1_10_PERCT</v>
      </c>
      <c r="B750" s="88">
        <f>PAGE6!$K$26</f>
        <v>0</v>
      </c>
      <c r="C750" s="89">
        <f>PAGE6!$M$26</f>
        <v>0</v>
      </c>
    </row>
    <row r="751" spans="1:3" x14ac:dyDescent="0.35">
      <c r="A751" s="193" t="str">
        <f>$C$1&amp;".E30A.REM.PBSEC.OS._INT.9.1_10_PERCT.TTL"</f>
        <v>xxxx.E30A.REM.PBSEC.OS._INT.9.1_10_PERCT.TTL</v>
      </c>
      <c r="B751" s="88">
        <f>PAGE6!$P$26</f>
        <v>0</v>
      </c>
      <c r="C751" s="89">
        <f>PAGE6!$R$26</f>
        <v>0</v>
      </c>
    </row>
    <row r="752" spans="1:3" x14ac:dyDescent="0.35">
      <c r="A752" s="193" t="str">
        <f>$C$1&amp;".E30A.REM.FR.PBSEC.OS._INT.10.1_11_PERCT"</f>
        <v>xxxx.E30A.REM.FR.PBSEC.OS._INT.10.1_11_PERCT</v>
      </c>
      <c r="B752" s="88">
        <f>PAGE6!$C$27</f>
        <v>0</v>
      </c>
      <c r="C752" s="89">
        <f>PAGE6!$E$27</f>
        <v>0</v>
      </c>
    </row>
    <row r="753" spans="1:3" x14ac:dyDescent="0.35">
      <c r="A753" s="193" t="str">
        <f>$C$1&amp;".E30A.REM.VAR.PBSEC.OS._INT.10.1_11_PERCT"</f>
        <v>xxxx.E30A.REM.VAR.PBSEC.OS._INT.10.1_11_PERCT</v>
      </c>
      <c r="B753" s="88">
        <f>PAGE6!$G$27</f>
        <v>0</v>
      </c>
      <c r="C753" s="89">
        <f>PAGE6!$I$27</f>
        <v>0</v>
      </c>
    </row>
    <row r="754" spans="1:3" x14ac:dyDescent="0.35">
      <c r="A754" s="193" t="str">
        <f>$C$1&amp;".E30A.REM.ADJ.PBSEC.OS._INT.10.1_11_PERCT"</f>
        <v>xxxx.E30A.REM.ADJ.PBSEC.OS._INT.10.1_11_PERCT</v>
      </c>
      <c r="B754" s="88">
        <f>PAGE6!$K$27</f>
        <v>0</v>
      </c>
      <c r="C754" s="89">
        <f>PAGE6!$M$27</f>
        <v>0</v>
      </c>
    </row>
    <row r="755" spans="1:3" x14ac:dyDescent="0.35">
      <c r="A755" s="193" t="str">
        <f>$C$1&amp;".E30A.REM.PBSEC.OS._INT.10.1_11_PERCT.TTL"</f>
        <v>xxxx.E30A.REM.PBSEC.OS._INT.10.1_11_PERCT.TTL</v>
      </c>
      <c r="B755" s="88">
        <f>PAGE6!$P$27</f>
        <v>0</v>
      </c>
      <c r="C755" s="89">
        <f>PAGE6!$R$27</f>
        <v>0</v>
      </c>
    </row>
    <row r="756" spans="1:3" x14ac:dyDescent="0.35">
      <c r="A756" s="193" t="str">
        <f>$C$1&amp;".E30A.REM.FR.PBSEC.OS._INT.11.1_12_PERCT"</f>
        <v>xxxx.E30A.REM.FR.PBSEC.OS._INT.11.1_12_PERCT</v>
      </c>
      <c r="B756" s="88">
        <f>PAGE6!$C$28</f>
        <v>0</v>
      </c>
      <c r="C756" s="89">
        <f>PAGE6!$E$28</f>
        <v>0</v>
      </c>
    </row>
    <row r="757" spans="1:3" x14ac:dyDescent="0.35">
      <c r="A757" s="193" t="str">
        <f>$C$1&amp;".E30A.REM.VAR.PBSEC.OS._INT.11.1_12_PERCT"</f>
        <v>xxxx.E30A.REM.VAR.PBSEC.OS._INT.11.1_12_PERCT</v>
      </c>
      <c r="B757" s="88">
        <f>PAGE6!$G$28</f>
        <v>0</v>
      </c>
      <c r="C757" s="89">
        <f>PAGE6!$I$28</f>
        <v>0</v>
      </c>
    </row>
    <row r="758" spans="1:3" x14ac:dyDescent="0.35">
      <c r="A758" s="193" t="str">
        <f>$C$1&amp;".E30A.REM.ADJ.PBSEC.OS._INT.11.1_12_PERCT"</f>
        <v>xxxx.E30A.REM.ADJ.PBSEC.OS._INT.11.1_12_PERCT</v>
      </c>
      <c r="B758" s="88">
        <f>PAGE6!$K$28</f>
        <v>0</v>
      </c>
      <c r="C758" s="89">
        <f>PAGE6!$M$28</f>
        <v>0</v>
      </c>
    </row>
    <row r="759" spans="1:3" x14ac:dyDescent="0.35">
      <c r="A759" s="193" t="str">
        <f>$C$1&amp;".E30A.REM.PBSEC.OS._INT.11.1_12_PERCT.TTL"</f>
        <v>xxxx.E30A.REM.PBSEC.OS._INT.11.1_12_PERCT.TTL</v>
      </c>
      <c r="B759" s="88">
        <f>PAGE6!$P$28</f>
        <v>0</v>
      </c>
      <c r="C759" s="89">
        <f>PAGE6!$R$28</f>
        <v>0</v>
      </c>
    </row>
    <row r="760" spans="1:3" x14ac:dyDescent="0.35">
      <c r="A760" s="193" t="str">
        <f>$C$1&amp;".E30A.REM.FR.PBSEC.OS._INT.12.1_13_PERCT"</f>
        <v>xxxx.E30A.REM.FR.PBSEC.OS._INT.12.1_13_PERCT</v>
      </c>
      <c r="B760" s="88">
        <f>PAGE6!$C$29</f>
        <v>0</v>
      </c>
      <c r="C760" s="89">
        <f>PAGE6!$E$29</f>
        <v>0</v>
      </c>
    </row>
    <row r="761" spans="1:3" x14ac:dyDescent="0.35">
      <c r="A761" s="193" t="str">
        <f>$C$1&amp;".E30A.REM.VAR.PBSEC.OS._INT.12.1_13_PERCT"</f>
        <v>xxxx.E30A.REM.VAR.PBSEC.OS._INT.12.1_13_PERCT</v>
      </c>
      <c r="B761" s="88">
        <f>PAGE6!$G$29</f>
        <v>0</v>
      </c>
      <c r="C761" s="89">
        <f>PAGE6!$I$29</f>
        <v>0</v>
      </c>
    </row>
    <row r="762" spans="1:3" x14ac:dyDescent="0.35">
      <c r="A762" s="193" t="str">
        <f>$C$1&amp;".E30A.REM.ADJ.PBSEC.OS._INT.12.1_13_PERCT"</f>
        <v>xxxx.E30A.REM.ADJ.PBSEC.OS._INT.12.1_13_PERCT</v>
      </c>
      <c r="B762" s="88">
        <f>PAGE6!$K$29</f>
        <v>0</v>
      </c>
      <c r="C762" s="89">
        <f>PAGE6!$M$29</f>
        <v>0</v>
      </c>
    </row>
    <row r="763" spans="1:3" x14ac:dyDescent="0.35">
      <c r="A763" s="193" t="str">
        <f>$C$1&amp;".E30A.REM.PBSEC.OS._INT.12.1_13_PERCT.TTL"</f>
        <v>xxxx.E30A.REM.PBSEC.OS._INT.12.1_13_PERCT.TTL</v>
      </c>
      <c r="B763" s="88">
        <f>PAGE6!$P$29</f>
        <v>0</v>
      </c>
      <c r="C763" s="89">
        <f>PAGE6!$R$29</f>
        <v>0</v>
      </c>
    </row>
    <row r="764" spans="1:3" x14ac:dyDescent="0.35">
      <c r="A764" s="193" t="str">
        <f>$C$1&amp;".E30A.REM.FR.PBSEC.OS._INT.13.1_14_PERCT"</f>
        <v>xxxx.E30A.REM.FR.PBSEC.OS._INT.13.1_14_PERCT</v>
      </c>
      <c r="B764" s="88">
        <f>PAGE6!$C$30</f>
        <v>0</v>
      </c>
      <c r="C764" s="89">
        <f>PAGE6!$E$30</f>
        <v>0</v>
      </c>
    </row>
    <row r="765" spans="1:3" x14ac:dyDescent="0.35">
      <c r="A765" s="193" t="str">
        <f>$C$1&amp;".E30A.REM.VAR.PBSEC.OS._INT.13.1_14_PERCT"</f>
        <v>xxxx.E30A.REM.VAR.PBSEC.OS._INT.13.1_14_PERCT</v>
      </c>
      <c r="B765" s="88">
        <f>PAGE6!$G$30</f>
        <v>0</v>
      </c>
      <c r="C765" s="89">
        <f>PAGE6!$I$30</f>
        <v>0</v>
      </c>
    </row>
    <row r="766" spans="1:3" x14ac:dyDescent="0.35">
      <c r="A766" s="193" t="str">
        <f>$C$1&amp;".E30A.REM.ADJ.PBSEC.OS._INT.13.1_14_PERCT"</f>
        <v>xxxx.E30A.REM.ADJ.PBSEC.OS._INT.13.1_14_PERCT</v>
      </c>
      <c r="B766" s="88">
        <f>PAGE6!$K$30</f>
        <v>0</v>
      </c>
      <c r="C766" s="89">
        <f>PAGE6!$M$30</f>
        <v>0</v>
      </c>
    </row>
    <row r="767" spans="1:3" x14ac:dyDescent="0.35">
      <c r="A767" s="193" t="str">
        <f>$C$1&amp;".E30A.REM.PBSEC.OS._INT.13.1_14_PERCT.TTL"</f>
        <v>xxxx.E30A.REM.PBSEC.OS._INT.13.1_14_PERCT.TTL</v>
      </c>
      <c r="B767" s="88">
        <f>PAGE6!$P$30</f>
        <v>0</v>
      </c>
      <c r="C767" s="89">
        <f>PAGE6!$R$30</f>
        <v>0</v>
      </c>
    </row>
    <row r="768" spans="1:3" x14ac:dyDescent="0.35">
      <c r="A768" s="193" t="str">
        <f>$C$1&amp;".E30A.REM.FR.PBSEC.OS._INT.14.1_15_PERCT"</f>
        <v>xxxx.E30A.REM.FR.PBSEC.OS._INT.14.1_15_PERCT</v>
      </c>
      <c r="B768" s="88">
        <f>PAGE6!$C$31</f>
        <v>0</v>
      </c>
      <c r="C768" s="89">
        <f>PAGE6!$E$31</f>
        <v>0</v>
      </c>
    </row>
    <row r="769" spans="1:3" x14ac:dyDescent="0.35">
      <c r="A769" s="193" t="str">
        <f>$C$1&amp;".E30A.REM.VAR.PBSEC.OS._INT.14.1_15_PERCT"</f>
        <v>xxxx.E30A.REM.VAR.PBSEC.OS._INT.14.1_15_PERCT</v>
      </c>
      <c r="B769" s="88">
        <f>PAGE6!$G$31</f>
        <v>0</v>
      </c>
      <c r="C769" s="89">
        <f>PAGE6!$I$31</f>
        <v>0</v>
      </c>
    </row>
    <row r="770" spans="1:3" x14ac:dyDescent="0.35">
      <c r="A770" s="193" t="str">
        <f>$C$1&amp;".E30A.REM.ADJ.PBSEC.OS._INT.14.1_15_PERCT"</f>
        <v>xxxx.E30A.REM.ADJ.PBSEC.OS._INT.14.1_15_PERCT</v>
      </c>
      <c r="B770" s="88">
        <f>PAGE6!$K$31</f>
        <v>0</v>
      </c>
      <c r="C770" s="89">
        <f>PAGE6!$M$31</f>
        <v>0</v>
      </c>
    </row>
    <row r="771" spans="1:3" x14ac:dyDescent="0.35">
      <c r="A771" s="193" t="str">
        <f>$C$1&amp;".E30A.REM.PBSEC.OS._INT.14.1_15_PERCT.TTL"</f>
        <v>xxxx.E30A.REM.PBSEC.OS._INT.14.1_15_PERCT.TTL</v>
      </c>
      <c r="B771" s="88">
        <f>PAGE6!$P$31</f>
        <v>0</v>
      </c>
      <c r="C771" s="89">
        <f>PAGE6!$R$31</f>
        <v>0</v>
      </c>
    </row>
    <row r="772" spans="1:3" x14ac:dyDescent="0.35">
      <c r="A772" s="193" t="str">
        <f>$C$1&amp;".E30A.REM.FR.PBSEC.OS._INT.OVR_15.1_PERCT"</f>
        <v>xxxx.E30A.REM.FR.PBSEC.OS._INT.OVR_15.1_PERCT</v>
      </c>
      <c r="B772" s="88">
        <f>PAGE6!$C$32</f>
        <v>0</v>
      </c>
      <c r="C772" s="89">
        <f>PAGE6!$E$32</f>
        <v>0</v>
      </c>
    </row>
    <row r="773" spans="1:3" x14ac:dyDescent="0.35">
      <c r="A773" s="193" t="str">
        <f>$C$1&amp;".E30A.REM.VAR.PBSEC.OS._INT.OVR_15.1_PERCT"</f>
        <v>xxxx.E30A.REM.VAR.PBSEC.OS._INT.OVR_15.1_PERCT</v>
      </c>
      <c r="B773" s="88">
        <f>PAGE6!$G$32</f>
        <v>0</v>
      </c>
      <c r="C773" s="89">
        <f>PAGE6!$I$32</f>
        <v>0</v>
      </c>
    </row>
    <row r="774" spans="1:3" x14ac:dyDescent="0.35">
      <c r="A774" s="193" t="str">
        <f>$C$1&amp;".E30A.REM.ADJ.PBSEC.OS._INT.OVR_15.1_PERCT"</f>
        <v>xxxx.E30A.REM.ADJ.PBSEC.OS._INT.OVR_15.1_PERCT</v>
      </c>
      <c r="B774" s="88">
        <f>PAGE6!$K$32</f>
        <v>0</v>
      </c>
      <c r="C774" s="89">
        <f>PAGE6!$M$32</f>
        <v>0</v>
      </c>
    </row>
    <row r="775" spans="1:3" x14ac:dyDescent="0.35">
      <c r="A775" s="193" t="str">
        <f>$C$1&amp;".E30A.REM.PBSEC.OS._INT.OVR_15.1_PERCT.TTL"</f>
        <v>xxxx.E30A.REM.PBSEC.OS._INT.OVR_15.1_PERCT.TTL</v>
      </c>
      <c r="B775" s="88">
        <f>PAGE6!$P$32</f>
        <v>0</v>
      </c>
      <c r="C775" s="89">
        <f>PAGE6!$R$32</f>
        <v>0</v>
      </c>
    </row>
    <row r="776" spans="1:3" x14ac:dyDescent="0.35">
      <c r="A776" s="193" t="str">
        <f>$C$1&amp;".E30A.REM.FR.PVFIN.OS._INT.0_3_PERCT"</f>
        <v>xxxx.E30A.REM.FR.PVFIN.OS._INT.0_3_PERCT</v>
      </c>
      <c r="B776" s="88">
        <f>PAGE6!$C$36</f>
        <v>0</v>
      </c>
      <c r="C776" s="89">
        <f>PAGE6!$E$36</f>
        <v>0</v>
      </c>
    </row>
    <row r="777" spans="1:3" x14ac:dyDescent="0.35">
      <c r="A777" s="193" t="str">
        <f>$C$1&amp;".E30A.REM.VAR.PVFIN.OS._INT.0_3_PERCT"</f>
        <v>xxxx.E30A.REM.VAR.PVFIN.OS._INT.0_3_PERCT</v>
      </c>
      <c r="B777" s="88">
        <f>PAGE6!$G$36</f>
        <v>0</v>
      </c>
      <c r="C777" s="89">
        <f>PAGE6!$I$36</f>
        <v>0</v>
      </c>
    </row>
    <row r="778" spans="1:3" x14ac:dyDescent="0.35">
      <c r="A778" s="193" t="str">
        <f>$C$1&amp;".E30A.REM.ADJ.PVFIN.OS._INT.0_3_PERCT"</f>
        <v>xxxx.E30A.REM.ADJ.PVFIN.OS._INT.0_3_PERCT</v>
      </c>
      <c r="B778" s="88">
        <f>PAGE6!$K$36</f>
        <v>0</v>
      </c>
      <c r="C778" s="89">
        <f>PAGE6!$M$36</f>
        <v>0</v>
      </c>
    </row>
    <row r="779" spans="1:3" x14ac:dyDescent="0.35">
      <c r="A779" s="193" t="str">
        <f>$C$1&amp;".E30A.REM.PVFIN.OS._INT.0_3_PERCT.TTL"</f>
        <v>xxxx.E30A.REM.PVFIN.OS._INT.0_3_PERCT.TTL</v>
      </c>
      <c r="B779" s="88">
        <f>PAGE6!$P$36</f>
        <v>0</v>
      </c>
      <c r="C779" s="89">
        <f>PAGE6!$R$36</f>
        <v>0</v>
      </c>
    </row>
    <row r="780" spans="1:3" x14ac:dyDescent="0.35">
      <c r="A780" s="193" t="str">
        <f>$C$1&amp;".E30A.REM.FR.PVFIN.OS._INT.3.1_4_PERCT"</f>
        <v>xxxx.E30A.REM.FR.PVFIN.OS._INT.3.1_4_PERCT</v>
      </c>
      <c r="B780" s="88">
        <f>PAGE6!$C$37</f>
        <v>0</v>
      </c>
      <c r="C780" s="89">
        <f>PAGE6!$E$37</f>
        <v>0</v>
      </c>
    </row>
    <row r="781" spans="1:3" x14ac:dyDescent="0.35">
      <c r="A781" s="193" t="str">
        <f>$C$1&amp;".E30A.REM.VAR.PVFIN.OS._INT.3.1_4_PERCT"</f>
        <v>xxxx.E30A.REM.VAR.PVFIN.OS._INT.3.1_4_PERCT</v>
      </c>
      <c r="B781" s="88">
        <f>PAGE6!$G$37</f>
        <v>0</v>
      </c>
      <c r="C781" s="89">
        <f>PAGE6!$I$37</f>
        <v>0</v>
      </c>
    </row>
    <row r="782" spans="1:3" x14ac:dyDescent="0.35">
      <c r="A782" s="193" t="str">
        <f>$C$1&amp;".E30A.REM.ADJ.PVFIN.OS._INT.3.1_4_PERCT"</f>
        <v>xxxx.E30A.REM.ADJ.PVFIN.OS._INT.3.1_4_PERCT</v>
      </c>
      <c r="B782" s="88">
        <f>PAGE6!$K$37</f>
        <v>0</v>
      </c>
      <c r="C782" s="89">
        <f>PAGE6!$M$37</f>
        <v>0</v>
      </c>
    </row>
    <row r="783" spans="1:3" x14ac:dyDescent="0.35">
      <c r="A783" s="193" t="str">
        <f>$C$1&amp;".E30A.REM.PVFIN.OS._INT.3.1_4_PERCT.TTL"</f>
        <v>xxxx.E30A.REM.PVFIN.OS._INT.3.1_4_PERCT.TTL</v>
      </c>
      <c r="B783" s="88">
        <f>PAGE6!$P$37</f>
        <v>0</v>
      </c>
      <c r="C783" s="89">
        <f>PAGE6!$R$37</f>
        <v>0</v>
      </c>
    </row>
    <row r="784" spans="1:3" x14ac:dyDescent="0.35">
      <c r="A784" s="193" t="str">
        <f>$C$1&amp;".E30A.REM.FR.PVFIN.OS._INT.4.1_5_PERCT"</f>
        <v>xxxx.E30A.REM.FR.PVFIN.OS._INT.4.1_5_PERCT</v>
      </c>
      <c r="B784" s="88">
        <f>PAGE6!$C$38</f>
        <v>0</v>
      </c>
      <c r="C784" s="89">
        <f>PAGE6!$E$38</f>
        <v>0</v>
      </c>
    </row>
    <row r="785" spans="1:3" x14ac:dyDescent="0.35">
      <c r="A785" s="193" t="str">
        <f>$C$1&amp;".E30A.REM.VAR.PVFIN.OS._INT.4.1_5_PERCT"</f>
        <v>xxxx.E30A.REM.VAR.PVFIN.OS._INT.4.1_5_PERCT</v>
      </c>
      <c r="B785" s="88">
        <f>PAGE6!$G$38</f>
        <v>0</v>
      </c>
      <c r="C785" s="89">
        <f>PAGE6!$I$38</f>
        <v>0</v>
      </c>
    </row>
    <row r="786" spans="1:3" x14ac:dyDescent="0.35">
      <c r="A786" s="193" t="str">
        <f>$C$1&amp;".E30A.REM.ADJ.PVFIN.OS._INT.4.1_5_PERCT"</f>
        <v>xxxx.E30A.REM.ADJ.PVFIN.OS._INT.4.1_5_PERCT</v>
      </c>
      <c r="B786" s="88">
        <f>PAGE6!$K$38</f>
        <v>0</v>
      </c>
      <c r="C786" s="89">
        <f>PAGE6!$M$38</f>
        <v>0</v>
      </c>
    </row>
    <row r="787" spans="1:3" x14ac:dyDescent="0.35">
      <c r="A787" s="193" t="str">
        <f>$C$1&amp;".E30A.REM.PVFIN.OS._INT.4.1_5_PERCT.TTL"</f>
        <v>xxxx.E30A.REM.PVFIN.OS._INT.4.1_5_PERCT.TTL</v>
      </c>
      <c r="B787" s="88">
        <f>PAGE6!$P$38</f>
        <v>0</v>
      </c>
      <c r="C787" s="89">
        <f>PAGE6!$R$38</f>
        <v>0</v>
      </c>
    </row>
    <row r="788" spans="1:3" x14ac:dyDescent="0.35">
      <c r="A788" s="193" t="str">
        <f>$C$1&amp;".E30A.REM.FR.PVFIN.OS._INT.5.1_6_PERCT"</f>
        <v>xxxx.E30A.REM.FR.PVFIN.OS._INT.5.1_6_PERCT</v>
      </c>
      <c r="B788" s="88">
        <f>PAGE6!$C$39</f>
        <v>0</v>
      </c>
      <c r="C788" s="89">
        <f>PAGE6!$E$39</f>
        <v>0</v>
      </c>
    </row>
    <row r="789" spans="1:3" x14ac:dyDescent="0.35">
      <c r="A789" s="193" t="str">
        <f>$C$1&amp;".E30A.REM.VAR.PVFIN.OS._INT.5.1_6_PERCT"</f>
        <v>xxxx.E30A.REM.VAR.PVFIN.OS._INT.5.1_6_PERCT</v>
      </c>
      <c r="B789" s="88">
        <f>PAGE6!$G$39</f>
        <v>0</v>
      </c>
      <c r="C789" s="89">
        <f>PAGE6!$I$39</f>
        <v>0</v>
      </c>
    </row>
    <row r="790" spans="1:3" x14ac:dyDescent="0.35">
      <c r="A790" s="193" t="str">
        <f>$C$1&amp;".E30A.REM.ADJ.PVFIN.OS._INT.5.1_6_PERCT"</f>
        <v>xxxx.E30A.REM.ADJ.PVFIN.OS._INT.5.1_6_PERCT</v>
      </c>
      <c r="B790" s="88">
        <f>PAGE6!$K$39</f>
        <v>0</v>
      </c>
      <c r="C790" s="89">
        <f>PAGE6!$M$39</f>
        <v>0</v>
      </c>
    </row>
    <row r="791" spans="1:3" x14ac:dyDescent="0.35">
      <c r="A791" s="193" t="str">
        <f>$C$1&amp;".E30A.REM.PVFIN.OS._INT.5.1_6_PERCT.TTL"</f>
        <v>xxxx.E30A.REM.PVFIN.OS._INT.5.1_6_PERCT.TTL</v>
      </c>
      <c r="B791" s="88">
        <f>PAGE6!$P$39</f>
        <v>0</v>
      </c>
      <c r="C791" s="89">
        <f>PAGE6!$R$39</f>
        <v>0</v>
      </c>
    </row>
    <row r="792" spans="1:3" x14ac:dyDescent="0.35">
      <c r="A792" s="193" t="str">
        <f>$C$1&amp;".E30A.REM.FR.PVFIN.OS._INT.6.1_7_PERCT"</f>
        <v>xxxx.E30A.REM.FR.PVFIN.OS._INT.6.1_7_PERCT</v>
      </c>
      <c r="B792" s="88">
        <f>PAGE6!$C$40</f>
        <v>0</v>
      </c>
      <c r="C792" s="89">
        <f>PAGE6!$E$40</f>
        <v>0</v>
      </c>
    </row>
    <row r="793" spans="1:3" x14ac:dyDescent="0.35">
      <c r="A793" s="193" t="str">
        <f>$C$1&amp;".E30A.REM.VAR.PVFIN.OS._INT.6.1_7_PERCT"</f>
        <v>xxxx.E30A.REM.VAR.PVFIN.OS._INT.6.1_7_PERCT</v>
      </c>
      <c r="B793" s="88">
        <f>PAGE6!$G$40</f>
        <v>0</v>
      </c>
      <c r="C793" s="89">
        <f>PAGE6!$I$40</f>
        <v>0</v>
      </c>
    </row>
    <row r="794" spans="1:3" x14ac:dyDescent="0.35">
      <c r="A794" s="193" t="str">
        <f>$C$1&amp;".E30A.REM.ADJ.PVFIN.OS._INT.6.1_7_PERCT"</f>
        <v>xxxx.E30A.REM.ADJ.PVFIN.OS._INT.6.1_7_PERCT</v>
      </c>
      <c r="B794" s="88">
        <f>PAGE6!$K$40</f>
        <v>0</v>
      </c>
      <c r="C794" s="89">
        <f>PAGE6!$M$40</f>
        <v>0</v>
      </c>
    </row>
    <row r="795" spans="1:3" x14ac:dyDescent="0.35">
      <c r="A795" s="193" t="str">
        <f>$C$1&amp;".E30A.REM.PVFIN.OS._INT.6.1_7_PERCT.TTL"</f>
        <v>xxxx.E30A.REM.PVFIN.OS._INT.6.1_7_PERCT.TTL</v>
      </c>
      <c r="B795" s="88">
        <f>PAGE6!$P$40</f>
        <v>0</v>
      </c>
      <c r="C795" s="89">
        <f>PAGE6!$R$40</f>
        <v>0</v>
      </c>
    </row>
    <row r="796" spans="1:3" x14ac:dyDescent="0.35">
      <c r="A796" s="193" t="str">
        <f>$C$1&amp;".E30A.REM.FR.PVFIN.OS._INT.7.1_8_PERCT"</f>
        <v>xxxx.E30A.REM.FR.PVFIN.OS._INT.7.1_8_PERCT</v>
      </c>
      <c r="B796" s="88">
        <f>PAGE6!$C$41</f>
        <v>0</v>
      </c>
      <c r="C796" s="89">
        <f>PAGE6!$E$41</f>
        <v>0</v>
      </c>
    </row>
    <row r="797" spans="1:3" x14ac:dyDescent="0.35">
      <c r="A797" s="193" t="str">
        <f>$C$1&amp;".E30A.REM.VAR.PVFIN.OS._INT.7.1_8_PERCT"</f>
        <v>xxxx.E30A.REM.VAR.PVFIN.OS._INT.7.1_8_PERCT</v>
      </c>
      <c r="B797" s="88">
        <f>PAGE6!$G$41</f>
        <v>0</v>
      </c>
      <c r="C797" s="89">
        <f>PAGE6!$I$41</f>
        <v>0</v>
      </c>
    </row>
    <row r="798" spans="1:3" x14ac:dyDescent="0.35">
      <c r="A798" s="193" t="str">
        <f>$C$1&amp;".E30A.REM.ADJ.PVFIN.OS._INT.7.1_8_PERCT"</f>
        <v>xxxx.E30A.REM.ADJ.PVFIN.OS._INT.7.1_8_PERCT</v>
      </c>
      <c r="B798" s="88">
        <f>PAGE6!$K$41</f>
        <v>0</v>
      </c>
      <c r="C798" s="89">
        <f>PAGE6!$M$41</f>
        <v>0</v>
      </c>
    </row>
    <row r="799" spans="1:3" x14ac:dyDescent="0.35">
      <c r="A799" s="193" t="str">
        <f>$C$1&amp;".E30A.REM.PVFIN.OS._INT.7.1_8_PERCT.TTL"</f>
        <v>xxxx.E30A.REM.PVFIN.OS._INT.7.1_8_PERCT.TTL</v>
      </c>
      <c r="B799" s="88">
        <f>PAGE6!$P$41</f>
        <v>0</v>
      </c>
      <c r="C799" s="89">
        <f>PAGE6!$R$41</f>
        <v>0</v>
      </c>
    </row>
    <row r="800" spans="1:3" x14ac:dyDescent="0.35">
      <c r="A800" s="193" t="str">
        <f>$C$1&amp;".E30A.REM.FR.PVFIN.OS._INT.8.1_9_PERCT"</f>
        <v>xxxx.E30A.REM.FR.PVFIN.OS._INT.8.1_9_PERCT</v>
      </c>
      <c r="B800" s="88">
        <f>PAGE6!$C$42</f>
        <v>0</v>
      </c>
      <c r="C800" s="89">
        <f>PAGE6!$E$42</f>
        <v>0</v>
      </c>
    </row>
    <row r="801" spans="1:3" x14ac:dyDescent="0.35">
      <c r="A801" s="193" t="str">
        <f>$C$1&amp;".E30A.REM.VAR.PVFIN.OS._INT.8.1_9_PERCT"</f>
        <v>xxxx.E30A.REM.VAR.PVFIN.OS._INT.8.1_9_PERCT</v>
      </c>
      <c r="B801" s="88">
        <f>PAGE6!$G$42</f>
        <v>0</v>
      </c>
      <c r="C801" s="89">
        <f>PAGE6!$I$42</f>
        <v>0</v>
      </c>
    </row>
    <row r="802" spans="1:3" x14ac:dyDescent="0.35">
      <c r="A802" s="193" t="str">
        <f>$C$1&amp;".E30A.REM.ADJ.PVFIN.OS._INT.8.1_9_PERCT"</f>
        <v>xxxx.E30A.REM.ADJ.PVFIN.OS._INT.8.1_9_PERCT</v>
      </c>
      <c r="B802" s="88">
        <f>PAGE6!$K$42</f>
        <v>0</v>
      </c>
      <c r="C802" s="89">
        <f>PAGE6!$M$42</f>
        <v>0</v>
      </c>
    </row>
    <row r="803" spans="1:3" x14ac:dyDescent="0.35">
      <c r="A803" s="193" t="str">
        <f>$C$1&amp;".E30A.REM.PVFIN.OS._INT.8.1_9_PERCT.TTL"</f>
        <v>xxxx.E30A.REM.PVFIN.OS._INT.8.1_9_PERCT.TTL</v>
      </c>
      <c r="B803" s="88">
        <f>PAGE6!$P$42</f>
        <v>0</v>
      </c>
      <c r="C803" s="89">
        <f>PAGE6!$R$42</f>
        <v>0</v>
      </c>
    </row>
    <row r="804" spans="1:3" x14ac:dyDescent="0.35">
      <c r="A804" s="193" t="str">
        <f>$C$1&amp;".E30A.REM.FR.PVFIN.OS._INT.9.1_10_PERCT"</f>
        <v>xxxx.E30A.REM.FR.PVFIN.OS._INT.9.1_10_PERCT</v>
      </c>
      <c r="B804" s="88">
        <f>PAGE6!$C$43</f>
        <v>0</v>
      </c>
      <c r="C804" s="89">
        <f>PAGE6!$E$43</f>
        <v>0</v>
      </c>
    </row>
    <row r="805" spans="1:3" x14ac:dyDescent="0.35">
      <c r="A805" s="193" t="str">
        <f>$C$1&amp;".E30A.REM.VAR.PVFIN.OS._INT.9.1_10_PERCT"</f>
        <v>xxxx.E30A.REM.VAR.PVFIN.OS._INT.9.1_10_PERCT</v>
      </c>
      <c r="B805" s="88">
        <f>PAGE6!$G$43</f>
        <v>0</v>
      </c>
      <c r="C805" s="89">
        <f>PAGE6!$I$43</f>
        <v>0</v>
      </c>
    </row>
    <row r="806" spans="1:3" x14ac:dyDescent="0.35">
      <c r="A806" s="193" t="str">
        <f>$C$1&amp;".E30A.REM.ADJ.PVFIN.OS._INT.9.1_10_PERCT"</f>
        <v>xxxx.E30A.REM.ADJ.PVFIN.OS._INT.9.1_10_PERCT</v>
      </c>
      <c r="B806" s="88">
        <f>PAGE6!$K$43</f>
        <v>0</v>
      </c>
      <c r="C806" s="89">
        <f>PAGE6!$M$43</f>
        <v>0</v>
      </c>
    </row>
    <row r="807" spans="1:3" x14ac:dyDescent="0.35">
      <c r="A807" s="193" t="str">
        <f>$C$1&amp;".E30A.REM.PVFIN.OS._INT.9.1_10_PERCT.TTL"</f>
        <v>xxxx.E30A.REM.PVFIN.OS._INT.9.1_10_PERCT.TTL</v>
      </c>
      <c r="B807" s="88">
        <f>PAGE6!$P$43</f>
        <v>0</v>
      </c>
      <c r="C807" s="89">
        <f>PAGE6!$R$43</f>
        <v>0</v>
      </c>
    </row>
    <row r="808" spans="1:3" x14ac:dyDescent="0.35">
      <c r="A808" s="193" t="str">
        <f>$C$1&amp;".E30A.REM.FR.PVFIN.OS._INT.10.1_11_PERCT"</f>
        <v>xxxx.E30A.REM.FR.PVFIN.OS._INT.10.1_11_PERCT</v>
      </c>
      <c r="B808" s="88">
        <f>PAGE6!$C$44</f>
        <v>0</v>
      </c>
      <c r="C808" s="89">
        <f>PAGE6!$E$44</f>
        <v>0</v>
      </c>
    </row>
    <row r="809" spans="1:3" x14ac:dyDescent="0.35">
      <c r="A809" s="193" t="str">
        <f>$C$1&amp;".E30A.REM.VAR.PVFIN.OS._INT.10.1_11_PERCT"</f>
        <v>xxxx.E30A.REM.VAR.PVFIN.OS._INT.10.1_11_PERCT</v>
      </c>
      <c r="B809" s="88">
        <f>PAGE6!$G$44</f>
        <v>0</v>
      </c>
      <c r="C809" s="89">
        <f>PAGE6!$I$44</f>
        <v>0</v>
      </c>
    </row>
    <row r="810" spans="1:3" x14ac:dyDescent="0.35">
      <c r="A810" s="193" t="str">
        <f>$C$1&amp;".E30A.REM.ADJ.PVFIN.OS._INT.10.1_11_PERCT"</f>
        <v>xxxx.E30A.REM.ADJ.PVFIN.OS._INT.10.1_11_PERCT</v>
      </c>
      <c r="B810" s="88">
        <f>PAGE6!$K$44</f>
        <v>0</v>
      </c>
      <c r="C810" s="89">
        <f>PAGE6!$M$44</f>
        <v>0</v>
      </c>
    </row>
    <row r="811" spans="1:3" x14ac:dyDescent="0.35">
      <c r="A811" s="193" t="str">
        <f>$C$1&amp;".E30A.REM.PVFIN.OS._INT.10.1_11_PERCT.TTL"</f>
        <v>xxxx.E30A.REM.PVFIN.OS._INT.10.1_11_PERCT.TTL</v>
      </c>
      <c r="B811" s="88">
        <f>PAGE6!$P$44</f>
        <v>0</v>
      </c>
      <c r="C811" s="89">
        <f>PAGE6!$R$44</f>
        <v>0</v>
      </c>
    </row>
    <row r="812" spans="1:3" x14ac:dyDescent="0.35">
      <c r="A812" s="193" t="str">
        <f>$C$1&amp;".E30A.REM.FR.PVFIN.OS._INT.11.1_12_PERCT"</f>
        <v>xxxx.E30A.REM.FR.PVFIN.OS._INT.11.1_12_PERCT</v>
      </c>
      <c r="B812" s="88">
        <f>PAGE6!$C$45</f>
        <v>0</v>
      </c>
      <c r="C812" s="89">
        <f>PAGE6!$E$45</f>
        <v>0</v>
      </c>
    </row>
    <row r="813" spans="1:3" x14ac:dyDescent="0.35">
      <c r="A813" s="193" t="str">
        <f>$C$1&amp;".E30A.REM.VAR.PVFIN.OS._INT.11.1_12_PERCT"</f>
        <v>xxxx.E30A.REM.VAR.PVFIN.OS._INT.11.1_12_PERCT</v>
      </c>
      <c r="B813" s="88">
        <f>PAGE6!$G$45</f>
        <v>0</v>
      </c>
      <c r="C813" s="89">
        <f>PAGE6!$I$45</f>
        <v>0</v>
      </c>
    </row>
    <row r="814" spans="1:3" x14ac:dyDescent="0.35">
      <c r="A814" s="193" t="str">
        <f>$C$1&amp;".E30A.REM.ADJ.PVFIN.OS._INT.11.1_12_PERCT"</f>
        <v>xxxx.E30A.REM.ADJ.PVFIN.OS._INT.11.1_12_PERCT</v>
      </c>
      <c r="B814" s="88">
        <f>PAGE6!$K$45</f>
        <v>0</v>
      </c>
      <c r="C814" s="89">
        <f>PAGE6!$M$45</f>
        <v>0</v>
      </c>
    </row>
    <row r="815" spans="1:3" x14ac:dyDescent="0.35">
      <c r="A815" s="193" t="str">
        <f>$C$1&amp;".E30A.REM.PVFIN.OS._INT.11.1_12_PERCT.TTL"</f>
        <v>xxxx.E30A.REM.PVFIN.OS._INT.11.1_12_PERCT.TTL</v>
      </c>
      <c r="B815" s="88">
        <f>PAGE6!$P$45</f>
        <v>0</v>
      </c>
      <c r="C815" s="89">
        <f>PAGE6!$R$45</f>
        <v>0</v>
      </c>
    </row>
    <row r="816" spans="1:3" x14ac:dyDescent="0.35">
      <c r="A816" s="193" t="str">
        <f>$C$1&amp;".E30A.REM.FR.PVFIN.OS._INT.12.1_13_PERCT"</f>
        <v>xxxx.E30A.REM.FR.PVFIN.OS._INT.12.1_13_PERCT</v>
      </c>
      <c r="B816" s="88">
        <f>PAGE6!$C$46</f>
        <v>0</v>
      </c>
      <c r="C816" s="89">
        <f>PAGE6!$E$46</f>
        <v>0</v>
      </c>
    </row>
    <row r="817" spans="1:3" x14ac:dyDescent="0.35">
      <c r="A817" s="193" t="str">
        <f>$C$1&amp;".E30A.REM.VAR.PVFIN.OS._INT.12.1_13_PERCT"</f>
        <v>xxxx.E30A.REM.VAR.PVFIN.OS._INT.12.1_13_PERCT</v>
      </c>
      <c r="B817" s="88">
        <f>PAGE6!$G$46</f>
        <v>0</v>
      </c>
      <c r="C817" s="89">
        <f>PAGE6!$I$46</f>
        <v>0</v>
      </c>
    </row>
    <row r="818" spans="1:3" x14ac:dyDescent="0.35">
      <c r="A818" s="193" t="str">
        <f>$C$1&amp;".E30A.REM.ADJ.PVFIN.OS._INT.12.1_13_PERCT"</f>
        <v>xxxx.E30A.REM.ADJ.PVFIN.OS._INT.12.1_13_PERCT</v>
      </c>
      <c r="B818" s="88">
        <f>PAGE6!$K$46</f>
        <v>0</v>
      </c>
      <c r="C818" s="89">
        <f>PAGE6!$M$46</f>
        <v>0</v>
      </c>
    </row>
    <row r="819" spans="1:3" x14ac:dyDescent="0.35">
      <c r="A819" s="193" t="str">
        <f>$C$1&amp;".E30A.REM.PVFIN.OS._INT.12.1_13_PERCT.TTL"</f>
        <v>xxxx.E30A.REM.PVFIN.OS._INT.12.1_13_PERCT.TTL</v>
      </c>
      <c r="B819" s="88">
        <f>PAGE6!$P$46</f>
        <v>0</v>
      </c>
      <c r="C819" s="89">
        <f>PAGE6!$R$46</f>
        <v>0</v>
      </c>
    </row>
    <row r="820" spans="1:3" x14ac:dyDescent="0.35">
      <c r="A820" s="193" t="str">
        <f>$C$1&amp;".E30A.REM.FR.PVFIN.OS._INT.13.1_14_PERCT"</f>
        <v>xxxx.E30A.REM.FR.PVFIN.OS._INT.13.1_14_PERCT</v>
      </c>
      <c r="B820" s="88">
        <f>PAGE6!$C$47</f>
        <v>0</v>
      </c>
      <c r="C820" s="89">
        <f>PAGE6!$E$47</f>
        <v>0</v>
      </c>
    </row>
    <row r="821" spans="1:3" x14ac:dyDescent="0.35">
      <c r="A821" s="193" t="str">
        <f>$C$1&amp;".E30A.REM.VAR.PVFIN.OS._INT.13.1_14_PERCT"</f>
        <v>xxxx.E30A.REM.VAR.PVFIN.OS._INT.13.1_14_PERCT</v>
      </c>
      <c r="B821" s="88">
        <f>PAGE6!$G$47</f>
        <v>0</v>
      </c>
      <c r="C821" s="89">
        <f>PAGE6!$I$47</f>
        <v>0</v>
      </c>
    </row>
    <row r="822" spans="1:3" x14ac:dyDescent="0.35">
      <c r="A822" s="193" t="str">
        <f>$C$1&amp;".E30A.REM.ADJ.PVFIN.OS._INT.13.1_14_PERCT"</f>
        <v>xxxx.E30A.REM.ADJ.PVFIN.OS._INT.13.1_14_PERCT</v>
      </c>
      <c r="B822" s="88">
        <f>PAGE6!$K$47</f>
        <v>0</v>
      </c>
      <c r="C822" s="89">
        <f>PAGE6!$M$47</f>
        <v>0</v>
      </c>
    </row>
    <row r="823" spans="1:3" x14ac:dyDescent="0.35">
      <c r="A823" s="193" t="str">
        <f>$C$1&amp;".E30A.REM.PVFIN.OS._INT.13.1_14_PERCT.TTL"</f>
        <v>xxxx.E30A.REM.PVFIN.OS._INT.13.1_14_PERCT.TTL</v>
      </c>
      <c r="B823" s="88">
        <f>PAGE6!$P$47</f>
        <v>0</v>
      </c>
      <c r="C823" s="89">
        <f>PAGE6!$R$47</f>
        <v>0</v>
      </c>
    </row>
    <row r="824" spans="1:3" x14ac:dyDescent="0.35">
      <c r="A824" s="193" t="str">
        <f>$C$1&amp;".E30A.REM.FR.PVFIN.OS._INT.14.1_15_PERCT"</f>
        <v>xxxx.E30A.REM.FR.PVFIN.OS._INT.14.1_15_PERCT</v>
      </c>
      <c r="B824" s="88">
        <f>PAGE6!$C$48</f>
        <v>0</v>
      </c>
      <c r="C824" s="89">
        <f>PAGE6!$E$48</f>
        <v>0</v>
      </c>
    </row>
    <row r="825" spans="1:3" x14ac:dyDescent="0.35">
      <c r="A825" s="193" t="str">
        <f>$C$1&amp;".E30A.REM.VAR.PVFIN.OS._INT.14.1_15_PERCT"</f>
        <v>xxxx.E30A.REM.VAR.PVFIN.OS._INT.14.1_15_PERCT</v>
      </c>
      <c r="B825" s="88">
        <f>PAGE6!$G$48</f>
        <v>0</v>
      </c>
      <c r="C825" s="89">
        <f>PAGE6!$I$48</f>
        <v>0</v>
      </c>
    </row>
    <row r="826" spans="1:3" x14ac:dyDescent="0.35">
      <c r="A826" s="193" t="str">
        <f>$C$1&amp;".E30A.REM.ADJ.PVFIN.OS._INT.14.1_15_PERCT"</f>
        <v>xxxx.E30A.REM.ADJ.PVFIN.OS._INT.14.1_15_PERCT</v>
      </c>
      <c r="B826" s="88">
        <f>PAGE6!$K$48</f>
        <v>0</v>
      </c>
      <c r="C826" s="89">
        <f>PAGE6!$M$48</f>
        <v>0</v>
      </c>
    </row>
    <row r="827" spans="1:3" x14ac:dyDescent="0.35">
      <c r="A827" s="193" t="str">
        <f>$C$1&amp;".E30A.REM.PVFIN.OS._INT.14.1_15_PERCT.TTL"</f>
        <v>xxxx.E30A.REM.PVFIN.OS._INT.14.1_15_PERCT.TTL</v>
      </c>
      <c r="B827" s="88">
        <f>PAGE6!$P$48</f>
        <v>0</v>
      </c>
      <c r="C827" s="89">
        <f>PAGE6!$R$48</f>
        <v>0</v>
      </c>
    </row>
    <row r="828" spans="1:3" x14ac:dyDescent="0.35">
      <c r="A828" s="193" t="str">
        <f>$C$1&amp;".E30A.REM.FR.PVFIN.OS._INT.OVR_15.1_PERCT"</f>
        <v>xxxx.E30A.REM.FR.PVFIN.OS._INT.OVR_15.1_PERCT</v>
      </c>
      <c r="B828" s="88">
        <f>PAGE6!$C$49</f>
        <v>0</v>
      </c>
      <c r="C828" s="89">
        <f>PAGE6!$E$49</f>
        <v>0</v>
      </c>
    </row>
    <row r="829" spans="1:3" x14ac:dyDescent="0.35">
      <c r="A829" s="193" t="str">
        <f>$C$1&amp;".E30A.REM.VAR.PVFIN.OS._INT.OVR_15.1_PERCT"</f>
        <v>xxxx.E30A.REM.VAR.PVFIN.OS._INT.OVR_15.1_PERCT</v>
      </c>
      <c r="B829" s="88">
        <f>PAGE6!$G$49</f>
        <v>0</v>
      </c>
      <c r="C829" s="89">
        <f>PAGE6!$I$49</f>
        <v>0</v>
      </c>
    </row>
    <row r="830" spans="1:3" x14ac:dyDescent="0.35">
      <c r="A830" s="193" t="str">
        <f>$C$1&amp;".E30A.REM.ADJ.PVFIN.OS._INT.OVR_15.1_PERCT"</f>
        <v>xxxx.E30A.REM.ADJ.PVFIN.OS._INT.OVR_15.1_PERCT</v>
      </c>
      <c r="B830" s="88">
        <f>PAGE6!$K$49</f>
        <v>0</v>
      </c>
      <c r="C830" s="89">
        <f>PAGE6!$M$49</f>
        <v>0</v>
      </c>
    </row>
    <row r="831" spans="1:3" x14ac:dyDescent="0.35">
      <c r="A831" s="193" t="str">
        <f>$C$1&amp;".E30A.REM.PVFIN.OS._INT.OVR_15.1_PERCT.TTL"</f>
        <v>xxxx.E30A.REM.PVFIN.OS._INT.OVR_15.1_PERCT.TTL</v>
      </c>
      <c r="B831" s="88">
        <f>PAGE6!$P$49</f>
        <v>0</v>
      </c>
      <c r="C831" s="89">
        <f>PAGE6!$R$49</f>
        <v>0</v>
      </c>
    </row>
    <row r="832" spans="1:3" x14ac:dyDescent="0.35">
      <c r="A832" s="193" t="str">
        <f>$C$1&amp;".E30A.REM.FR.IBUS.OS._INT.0_3_PERCT"</f>
        <v>xxxx.E30A.REM.FR.IBUS.OS._INT.0_3_PERCT</v>
      </c>
      <c r="B832" s="88">
        <f>PAGE6!$C$53</f>
        <v>0</v>
      </c>
      <c r="C832" s="89">
        <f>PAGE6!$E$53</f>
        <v>0</v>
      </c>
    </row>
    <row r="833" spans="1:3" x14ac:dyDescent="0.35">
      <c r="A833" s="193" t="str">
        <f>$C$1&amp;".E30A.REM.VAR.IBUS.OS._INT.0_3_PERCT"</f>
        <v>xxxx.E30A.REM.VAR.IBUS.OS._INT.0_3_PERCT</v>
      </c>
      <c r="B833" s="88">
        <f>PAGE6!$G$53</f>
        <v>0</v>
      </c>
      <c r="C833" s="89">
        <f>PAGE6!$I$53</f>
        <v>0</v>
      </c>
    </row>
    <row r="834" spans="1:3" x14ac:dyDescent="0.35">
      <c r="A834" s="193" t="str">
        <f>$C$1&amp;".E30A.REM.ADJ.IBUS.OS._INT.0_3_PERCT"</f>
        <v>xxxx.E30A.REM.ADJ.IBUS.OS._INT.0_3_PERCT</v>
      </c>
      <c r="B834" s="88">
        <f>PAGE6!$K$53</f>
        <v>0</v>
      </c>
      <c r="C834" s="89">
        <f>PAGE6!$M$53</f>
        <v>0</v>
      </c>
    </row>
    <row r="835" spans="1:3" x14ac:dyDescent="0.35">
      <c r="A835" s="193" t="str">
        <f>$C$1&amp;".E30A.REM.IBUS.OS._INT.0_3_PERCT.TTL"</f>
        <v>xxxx.E30A.REM.IBUS.OS._INT.0_3_PERCT.TTL</v>
      </c>
      <c r="B835" s="88">
        <f>PAGE6!$P$53</f>
        <v>0</v>
      </c>
      <c r="C835" s="89">
        <f>PAGE6!$R$53</f>
        <v>0</v>
      </c>
    </row>
    <row r="836" spans="1:3" x14ac:dyDescent="0.35">
      <c r="A836" s="193" t="str">
        <f>$C$1&amp;".E30A.REM.FR.IBUS.OS._INT.3.1_4_PERCT"</f>
        <v>xxxx.E30A.REM.FR.IBUS.OS._INT.3.1_4_PERCT</v>
      </c>
      <c r="B836" s="88">
        <f>PAGE6!$C$54</f>
        <v>0</v>
      </c>
      <c r="C836" s="89">
        <f>PAGE6!$E$54</f>
        <v>0</v>
      </c>
    </row>
    <row r="837" spans="1:3" x14ac:dyDescent="0.35">
      <c r="A837" s="193" t="str">
        <f>$C$1&amp;".E30A.REM.VAR.IBUS.OS._INT.3.1_4_PERCT"</f>
        <v>xxxx.E30A.REM.VAR.IBUS.OS._INT.3.1_4_PERCT</v>
      </c>
      <c r="B837" s="88">
        <f>PAGE6!$G$54</f>
        <v>0</v>
      </c>
      <c r="C837" s="89">
        <f>PAGE6!$I$54</f>
        <v>0</v>
      </c>
    </row>
    <row r="838" spans="1:3" x14ac:dyDescent="0.35">
      <c r="A838" s="193" t="str">
        <f>$C$1&amp;".E30A.REM.ADJ.IBUS.OS._INT.3.1_4_PERCT"</f>
        <v>xxxx.E30A.REM.ADJ.IBUS.OS._INT.3.1_4_PERCT</v>
      </c>
      <c r="B838" s="88">
        <f>PAGE6!$K$54</f>
        <v>0</v>
      </c>
      <c r="C838" s="89">
        <f>PAGE6!$M$54</f>
        <v>0</v>
      </c>
    </row>
    <row r="839" spans="1:3" x14ac:dyDescent="0.35">
      <c r="A839" s="193" t="str">
        <f>$C$1&amp;".E30A.REM.IBUS.OS._INT.3.1_4_PERCT.TTL"</f>
        <v>xxxx.E30A.REM.IBUS.OS._INT.3.1_4_PERCT.TTL</v>
      </c>
      <c r="B839" s="88">
        <f>PAGE6!$P$54</f>
        <v>0</v>
      </c>
      <c r="C839" s="89">
        <f>PAGE6!$R$54</f>
        <v>0</v>
      </c>
    </row>
    <row r="840" spans="1:3" x14ac:dyDescent="0.35">
      <c r="A840" s="193" t="str">
        <f>$C$1&amp;".E30A.REM.FR.IBUS.OS._INT.4.1_5_PERCT"</f>
        <v>xxxx.E30A.REM.FR.IBUS.OS._INT.4.1_5_PERCT</v>
      </c>
      <c r="B840" s="88">
        <f>PAGE6!$C$55</f>
        <v>0</v>
      </c>
      <c r="C840" s="89">
        <f>PAGE6!$E$55</f>
        <v>0</v>
      </c>
    </row>
    <row r="841" spans="1:3" x14ac:dyDescent="0.35">
      <c r="A841" s="193" t="str">
        <f>$C$1&amp;".E30A.REM.VAR.IBUS.OS._INT.4.1_5_PERCT"</f>
        <v>xxxx.E30A.REM.VAR.IBUS.OS._INT.4.1_5_PERCT</v>
      </c>
      <c r="B841" s="88">
        <f>PAGE6!$G$55</f>
        <v>0</v>
      </c>
      <c r="C841" s="89">
        <f>PAGE6!$I$55</f>
        <v>0</v>
      </c>
    </row>
    <row r="842" spans="1:3" x14ac:dyDescent="0.35">
      <c r="A842" s="193" t="str">
        <f>$C$1&amp;".E30A.REM.ADJ.IBUS.OS._INT.4.1_5_PERCT"</f>
        <v>xxxx.E30A.REM.ADJ.IBUS.OS._INT.4.1_5_PERCT</v>
      </c>
      <c r="B842" s="88">
        <f>PAGE6!$K$55</f>
        <v>0</v>
      </c>
      <c r="C842" s="89">
        <f>PAGE6!$M$55</f>
        <v>0</v>
      </c>
    </row>
    <row r="843" spans="1:3" x14ac:dyDescent="0.35">
      <c r="A843" s="193" t="str">
        <f>$C$1&amp;".E30A.REM.IBUS.OS._INT.4.1_5_PERCT.TTL"</f>
        <v>xxxx.E30A.REM.IBUS.OS._INT.4.1_5_PERCT.TTL</v>
      </c>
      <c r="B843" s="88">
        <f>PAGE6!$P$55</f>
        <v>0</v>
      </c>
      <c r="C843" s="89">
        <f>PAGE6!$R$55</f>
        <v>0</v>
      </c>
    </row>
    <row r="844" spans="1:3" x14ac:dyDescent="0.35">
      <c r="A844" s="193" t="str">
        <f>$C$1&amp;".E30A.REM.FR.IBUS.OS._INT.5.1_6_PERCT"</f>
        <v>xxxx.E30A.REM.FR.IBUS.OS._INT.5.1_6_PERCT</v>
      </c>
      <c r="B844" s="88">
        <f>PAGE6!$C$56</f>
        <v>0</v>
      </c>
      <c r="C844" s="89">
        <f>PAGE6!$E$56</f>
        <v>0</v>
      </c>
    </row>
    <row r="845" spans="1:3" x14ac:dyDescent="0.35">
      <c r="A845" s="193" t="str">
        <f>$C$1&amp;".E30A.REM.VAR.IBUS.OS._INT.5.1_6_PERCT"</f>
        <v>xxxx.E30A.REM.VAR.IBUS.OS._INT.5.1_6_PERCT</v>
      </c>
      <c r="B845" s="88">
        <f>PAGE6!$G$56</f>
        <v>0</v>
      </c>
      <c r="C845" s="89">
        <f>PAGE6!$I$56</f>
        <v>0</v>
      </c>
    </row>
    <row r="846" spans="1:3" x14ac:dyDescent="0.35">
      <c r="A846" s="193" t="str">
        <f>$C$1&amp;".E30A.REM.ADJ.IBUS.OS._INT.5.1_6_PERCT"</f>
        <v>xxxx.E30A.REM.ADJ.IBUS.OS._INT.5.1_6_PERCT</v>
      </c>
      <c r="B846" s="88">
        <f>PAGE6!$K$56</f>
        <v>0</v>
      </c>
      <c r="C846" s="89">
        <f>PAGE6!$M$56</f>
        <v>0</v>
      </c>
    </row>
    <row r="847" spans="1:3" x14ac:dyDescent="0.35">
      <c r="A847" s="193" t="str">
        <f>$C$1&amp;".E30A.REM.IBUS.OS._INT.5.1_6_PERCT.TTL"</f>
        <v>xxxx.E30A.REM.IBUS.OS._INT.5.1_6_PERCT.TTL</v>
      </c>
      <c r="B847" s="88">
        <f>PAGE6!$P$56</f>
        <v>0</v>
      </c>
      <c r="C847" s="89">
        <f>PAGE6!$R$56</f>
        <v>0</v>
      </c>
    </row>
    <row r="848" spans="1:3" x14ac:dyDescent="0.35">
      <c r="A848" s="193" t="str">
        <f>$C$1&amp;".E30A.REM.FR.IBUS.OS._INT.6.1_7_PERCT"</f>
        <v>xxxx.E30A.REM.FR.IBUS.OS._INT.6.1_7_PERCT</v>
      </c>
      <c r="B848" s="88">
        <f>PAGE6!$C$57</f>
        <v>0</v>
      </c>
      <c r="C848" s="89">
        <f>PAGE6!$E$57</f>
        <v>0</v>
      </c>
    </row>
    <row r="849" spans="1:3" x14ac:dyDescent="0.35">
      <c r="A849" s="193" t="str">
        <f>$C$1&amp;".E30A.REM.VAR.IBUS.OS._INT.6.1_7_PERCT"</f>
        <v>xxxx.E30A.REM.VAR.IBUS.OS._INT.6.1_7_PERCT</v>
      </c>
      <c r="B849" s="88">
        <f>PAGE6!$G$57</f>
        <v>0</v>
      </c>
      <c r="C849" s="89">
        <f>PAGE6!$I$57</f>
        <v>0</v>
      </c>
    </row>
    <row r="850" spans="1:3" x14ac:dyDescent="0.35">
      <c r="A850" s="193" t="str">
        <f>$C$1&amp;".E30A.REM.ADJ.IBUS.OS._INT.6.1_7_PERCT"</f>
        <v>xxxx.E30A.REM.ADJ.IBUS.OS._INT.6.1_7_PERCT</v>
      </c>
      <c r="B850" s="88">
        <f>PAGE6!$K$57</f>
        <v>0</v>
      </c>
      <c r="C850" s="89">
        <f>PAGE6!$M$57</f>
        <v>0</v>
      </c>
    </row>
    <row r="851" spans="1:3" x14ac:dyDescent="0.35">
      <c r="A851" s="193" t="str">
        <f>$C$1&amp;".E30A.REM.IBUS.OS._INT.6.1_7_PERCT.TTL"</f>
        <v>xxxx.E30A.REM.IBUS.OS._INT.6.1_7_PERCT.TTL</v>
      </c>
      <c r="B851" s="88">
        <f>PAGE6!$P$57</f>
        <v>0</v>
      </c>
      <c r="C851" s="89">
        <f>PAGE6!$R$57</f>
        <v>0</v>
      </c>
    </row>
    <row r="852" spans="1:3" x14ac:dyDescent="0.35">
      <c r="A852" s="193" t="str">
        <f>$C$1&amp;".E30A.REM.FR.IBUS.OS._INT.7.1_8_PERCT"</f>
        <v>xxxx.E30A.REM.FR.IBUS.OS._INT.7.1_8_PERCT</v>
      </c>
      <c r="B852" s="88">
        <f>PAGE6!$C$58</f>
        <v>0</v>
      </c>
      <c r="C852" s="89">
        <f>PAGE6!$E$58</f>
        <v>0</v>
      </c>
    </row>
    <row r="853" spans="1:3" x14ac:dyDescent="0.35">
      <c r="A853" s="193" t="str">
        <f>$C$1&amp;".E30A.REM.VAR.IBUS.OS._INT.7.1_8_PERCT"</f>
        <v>xxxx.E30A.REM.VAR.IBUS.OS._INT.7.1_8_PERCT</v>
      </c>
      <c r="B853" s="88">
        <f>PAGE6!$G$58</f>
        <v>0</v>
      </c>
      <c r="C853" s="89">
        <f>PAGE6!$I$58</f>
        <v>0</v>
      </c>
    </row>
    <row r="854" spans="1:3" x14ac:dyDescent="0.35">
      <c r="A854" s="193" t="str">
        <f>$C$1&amp;".E30A.REM.ADJ.IBUS.OS._INT.7.1_8_PERCT"</f>
        <v>xxxx.E30A.REM.ADJ.IBUS.OS._INT.7.1_8_PERCT</v>
      </c>
      <c r="B854" s="88">
        <f>PAGE6!$K$58</f>
        <v>0</v>
      </c>
      <c r="C854" s="89">
        <f>PAGE6!$M$58</f>
        <v>0</v>
      </c>
    </row>
    <row r="855" spans="1:3" x14ac:dyDescent="0.35">
      <c r="A855" s="193" t="str">
        <f>$C$1&amp;".E30A.REM.IBUS.OS._INT.7.1_8_PERCT.TTL"</f>
        <v>xxxx.E30A.REM.IBUS.OS._INT.7.1_8_PERCT.TTL</v>
      </c>
      <c r="B855" s="88">
        <f>PAGE6!$P$58</f>
        <v>0</v>
      </c>
      <c r="C855" s="89">
        <f>PAGE6!$R$58</f>
        <v>0</v>
      </c>
    </row>
    <row r="856" spans="1:3" x14ac:dyDescent="0.35">
      <c r="A856" s="193" t="str">
        <f>$C$1&amp;".E30A.REM.FR.IBUS.OS._INT.8.1_9_PERCT"</f>
        <v>xxxx.E30A.REM.FR.IBUS.OS._INT.8.1_9_PERCT</v>
      </c>
      <c r="B856" s="88">
        <f>PAGE6!$C$59</f>
        <v>0</v>
      </c>
      <c r="C856" s="89">
        <f>PAGE6!$E$59</f>
        <v>0</v>
      </c>
    </row>
    <row r="857" spans="1:3" x14ac:dyDescent="0.35">
      <c r="A857" s="193" t="str">
        <f>$C$1&amp;".E30A.REM.VAR.IBUS.OS._INT.8.1_9_PERCT"</f>
        <v>xxxx.E30A.REM.VAR.IBUS.OS._INT.8.1_9_PERCT</v>
      </c>
      <c r="B857" s="88">
        <f>PAGE6!$G$59</f>
        <v>0</v>
      </c>
      <c r="C857" s="89">
        <f>PAGE6!$I$59</f>
        <v>0</v>
      </c>
    </row>
    <row r="858" spans="1:3" x14ac:dyDescent="0.35">
      <c r="A858" s="193" t="str">
        <f>$C$1&amp;".E30A.REM.ADJ.IBUS.OS._INT.8.1_9_PERCT"</f>
        <v>xxxx.E30A.REM.ADJ.IBUS.OS._INT.8.1_9_PERCT</v>
      </c>
      <c r="B858" s="88">
        <f>PAGE6!$K$59</f>
        <v>0</v>
      </c>
      <c r="C858" s="89">
        <f>PAGE6!$M$59</f>
        <v>0</v>
      </c>
    </row>
    <row r="859" spans="1:3" x14ac:dyDescent="0.35">
      <c r="A859" s="193" t="str">
        <f>$C$1&amp;".E30A.REM.IBUS.OS._INT.8.1_9_PERCT.TTL"</f>
        <v>xxxx.E30A.REM.IBUS.OS._INT.8.1_9_PERCT.TTL</v>
      </c>
      <c r="B859" s="88">
        <f>PAGE6!$P$59</f>
        <v>0</v>
      </c>
      <c r="C859" s="89">
        <f>PAGE6!$R$59</f>
        <v>0</v>
      </c>
    </row>
    <row r="860" spans="1:3" x14ac:dyDescent="0.35">
      <c r="A860" s="193" t="str">
        <f>$C$1&amp;".E30A.REM.FR.IBUS.OS._INT.9.1_10_PERCT"</f>
        <v>xxxx.E30A.REM.FR.IBUS.OS._INT.9.1_10_PERCT</v>
      </c>
      <c r="B860" s="88">
        <f>PAGE6!$C$60</f>
        <v>0</v>
      </c>
      <c r="C860" s="89">
        <f>PAGE6!$E$60</f>
        <v>0</v>
      </c>
    </row>
    <row r="861" spans="1:3" x14ac:dyDescent="0.35">
      <c r="A861" s="193" t="str">
        <f>$C$1&amp;".E30A.REM.VAR.IBUS.OS._INT.9.1_10_PERCT"</f>
        <v>xxxx.E30A.REM.VAR.IBUS.OS._INT.9.1_10_PERCT</v>
      </c>
      <c r="B861" s="88">
        <f>PAGE6!$G$60</f>
        <v>0</v>
      </c>
      <c r="C861" s="89">
        <f>PAGE6!$I$60</f>
        <v>0</v>
      </c>
    </row>
    <row r="862" spans="1:3" x14ac:dyDescent="0.35">
      <c r="A862" s="193" t="str">
        <f>$C$1&amp;".E30A.REM.ADJ.IBUS.OS._INT.9.1_10_PERCT"</f>
        <v>xxxx.E30A.REM.ADJ.IBUS.OS._INT.9.1_10_PERCT</v>
      </c>
      <c r="B862" s="88">
        <f>PAGE6!$K$60</f>
        <v>0</v>
      </c>
      <c r="C862" s="89">
        <f>PAGE6!$M$60</f>
        <v>0</v>
      </c>
    </row>
    <row r="863" spans="1:3" x14ac:dyDescent="0.35">
      <c r="A863" s="193" t="str">
        <f>$C$1&amp;".E30A.REM.IBUS.OS._INT.9.1_10_PERCT.TTL"</f>
        <v>xxxx.E30A.REM.IBUS.OS._INT.9.1_10_PERCT.TTL</v>
      </c>
      <c r="B863" s="88">
        <f>PAGE6!$P$60</f>
        <v>0</v>
      </c>
      <c r="C863" s="89">
        <f>PAGE6!$R$60</f>
        <v>0</v>
      </c>
    </row>
    <row r="864" spans="1:3" x14ac:dyDescent="0.35">
      <c r="A864" s="193" t="str">
        <f>$C$1&amp;".E30A.REM.FR.IBUS.OS._INT.10.1_11_PERCT"</f>
        <v>xxxx.E30A.REM.FR.IBUS.OS._INT.10.1_11_PERCT</v>
      </c>
      <c r="B864" s="88">
        <f>PAGE6!$C$61</f>
        <v>0</v>
      </c>
      <c r="C864" s="89">
        <f>PAGE6!$E$61</f>
        <v>0</v>
      </c>
    </row>
    <row r="865" spans="1:3" x14ac:dyDescent="0.35">
      <c r="A865" s="193" t="str">
        <f>$C$1&amp;".E30A.REM.VAR.IBUS.OS._INT.10.1_11_PERCT"</f>
        <v>xxxx.E30A.REM.VAR.IBUS.OS._INT.10.1_11_PERCT</v>
      </c>
      <c r="B865" s="88">
        <f>PAGE6!$G$61</f>
        <v>0</v>
      </c>
      <c r="C865" s="89">
        <f>PAGE6!$I$61</f>
        <v>0</v>
      </c>
    </row>
    <row r="866" spans="1:3" x14ac:dyDescent="0.35">
      <c r="A866" s="193" t="str">
        <f>$C$1&amp;".E30A.REM.ADJ.IBUS.OS._INT.10.1_11_PERCT"</f>
        <v>xxxx.E30A.REM.ADJ.IBUS.OS._INT.10.1_11_PERCT</v>
      </c>
      <c r="B866" s="88">
        <f>PAGE6!$K$61</f>
        <v>0</v>
      </c>
      <c r="C866" s="89">
        <f>PAGE6!$M$61</f>
        <v>0</v>
      </c>
    </row>
    <row r="867" spans="1:3" x14ac:dyDescent="0.35">
      <c r="A867" s="193" t="str">
        <f>$C$1&amp;".E30A.REM.IBUS.OS._INT.10.1_11_PERCT.TTL"</f>
        <v>xxxx.E30A.REM.IBUS.OS._INT.10.1_11_PERCT.TTL</v>
      </c>
      <c r="B867" s="88">
        <f>PAGE6!$P$61</f>
        <v>0</v>
      </c>
      <c r="C867" s="89">
        <f>PAGE6!$R$61</f>
        <v>0</v>
      </c>
    </row>
    <row r="868" spans="1:3" x14ac:dyDescent="0.35">
      <c r="A868" s="193" t="str">
        <f>$C$1&amp;".E30A.REM.FR.IBUS.OS._INT.11.1_12_PERCT"</f>
        <v>xxxx.E30A.REM.FR.IBUS.OS._INT.11.1_12_PERCT</v>
      </c>
      <c r="B868" s="88">
        <f>PAGE6!$C$62</f>
        <v>0</v>
      </c>
      <c r="C868" s="89">
        <f>PAGE6!$E$62</f>
        <v>0</v>
      </c>
    </row>
    <row r="869" spans="1:3" x14ac:dyDescent="0.35">
      <c r="A869" s="193" t="str">
        <f>$C$1&amp;".E30A.REM.VAR.IBUS.OS._INT.11.1_12_PERCT"</f>
        <v>xxxx.E30A.REM.VAR.IBUS.OS._INT.11.1_12_PERCT</v>
      </c>
      <c r="B869" s="88">
        <f>PAGE6!$G$62</f>
        <v>0</v>
      </c>
      <c r="C869" s="89">
        <f>PAGE6!$I$62</f>
        <v>0</v>
      </c>
    </row>
    <row r="870" spans="1:3" x14ac:dyDescent="0.35">
      <c r="A870" s="193" t="str">
        <f>$C$1&amp;".E30A.REM.ADJ.IBUS.OS._INT.11.1_12_PERCT"</f>
        <v>xxxx.E30A.REM.ADJ.IBUS.OS._INT.11.1_12_PERCT</v>
      </c>
      <c r="B870" s="88">
        <f>PAGE6!$K$62</f>
        <v>0</v>
      </c>
      <c r="C870" s="89">
        <f>PAGE6!$M$62</f>
        <v>0</v>
      </c>
    </row>
    <row r="871" spans="1:3" x14ac:dyDescent="0.35">
      <c r="A871" s="193" t="str">
        <f>$C$1&amp;".E30A.REM.IBUS.OS._INT.11.1_12_PERCT.TTL"</f>
        <v>xxxx.E30A.REM.IBUS.OS._INT.11.1_12_PERCT.TTL</v>
      </c>
      <c r="B871" s="88">
        <f>PAGE6!$P$62</f>
        <v>0</v>
      </c>
      <c r="C871" s="89">
        <f>PAGE6!$R$62</f>
        <v>0</v>
      </c>
    </row>
    <row r="872" spans="1:3" x14ac:dyDescent="0.35">
      <c r="A872" s="193" t="str">
        <f>$C$1&amp;".E30A.REM.FR.IBUS.OS._INT.12.1_13_PERCT"</f>
        <v>xxxx.E30A.REM.FR.IBUS.OS._INT.12.1_13_PERCT</v>
      </c>
      <c r="B872" s="88">
        <f>PAGE6!$C$63</f>
        <v>0</v>
      </c>
      <c r="C872" s="89">
        <f>PAGE6!$E$63</f>
        <v>0</v>
      </c>
    </row>
    <row r="873" spans="1:3" x14ac:dyDescent="0.35">
      <c r="A873" s="193" t="str">
        <f>$C$1&amp;".E30A.REM.VAR.IBUS.OS._INT.12.1_13_PERCT"</f>
        <v>xxxx.E30A.REM.VAR.IBUS.OS._INT.12.1_13_PERCT</v>
      </c>
      <c r="B873" s="88">
        <f>PAGE6!$G$63</f>
        <v>0</v>
      </c>
      <c r="C873" s="89">
        <f>PAGE6!$I$63</f>
        <v>0</v>
      </c>
    </row>
    <row r="874" spans="1:3" x14ac:dyDescent="0.35">
      <c r="A874" s="193" t="str">
        <f>$C$1&amp;".E30A.REM.ADJ.IBUS.OS._INT.12.1_13_PERCT"</f>
        <v>xxxx.E30A.REM.ADJ.IBUS.OS._INT.12.1_13_PERCT</v>
      </c>
      <c r="B874" s="88">
        <f>PAGE6!$K$63</f>
        <v>0</v>
      </c>
      <c r="C874" s="89">
        <f>PAGE6!$M$63</f>
        <v>0</v>
      </c>
    </row>
    <row r="875" spans="1:3" x14ac:dyDescent="0.35">
      <c r="A875" s="193" t="str">
        <f>$C$1&amp;".E30A.REM.IBUS.OS._INT.12.1_13_PERCT.TTL"</f>
        <v>xxxx.E30A.REM.IBUS.OS._INT.12.1_13_PERCT.TTL</v>
      </c>
      <c r="B875" s="88">
        <f>PAGE6!$P$63</f>
        <v>0</v>
      </c>
      <c r="C875" s="89">
        <f>PAGE6!$R$63</f>
        <v>0</v>
      </c>
    </row>
    <row r="876" spans="1:3" x14ac:dyDescent="0.35">
      <c r="A876" s="193" t="str">
        <f>$C$1&amp;".E30A.REM.FR.IBUS.OS._INT.13.1_14_PERCT"</f>
        <v>xxxx.E30A.REM.FR.IBUS.OS._INT.13.1_14_PERCT</v>
      </c>
      <c r="B876" s="88">
        <f>PAGE6!$C$64</f>
        <v>0</v>
      </c>
      <c r="C876" s="89">
        <f>PAGE6!$E$64</f>
        <v>0</v>
      </c>
    </row>
    <row r="877" spans="1:3" x14ac:dyDescent="0.35">
      <c r="A877" s="193" t="str">
        <f>$C$1&amp;".E30A.REM.VAR.IBUS.OS._INT.13.1_14_PERCT"</f>
        <v>xxxx.E30A.REM.VAR.IBUS.OS._INT.13.1_14_PERCT</v>
      </c>
      <c r="B877" s="88">
        <f>PAGE6!$G$64</f>
        <v>0</v>
      </c>
      <c r="C877" s="89">
        <f>PAGE6!$I$64</f>
        <v>0</v>
      </c>
    </row>
    <row r="878" spans="1:3" x14ac:dyDescent="0.35">
      <c r="A878" s="193" t="str">
        <f>$C$1&amp;".E30A.REM.ADJ.IBUS.OS._INT.13.1_14_PERCT"</f>
        <v>xxxx.E30A.REM.ADJ.IBUS.OS._INT.13.1_14_PERCT</v>
      </c>
      <c r="B878" s="88">
        <f>PAGE6!$K$64</f>
        <v>0</v>
      </c>
      <c r="C878" s="89">
        <f>PAGE6!$M$64</f>
        <v>0</v>
      </c>
    </row>
    <row r="879" spans="1:3" x14ac:dyDescent="0.35">
      <c r="A879" s="193" t="str">
        <f>$C$1&amp;".E30A.REM.IBUS.OS._INT.13.1_14_PERCT.TTL"</f>
        <v>xxxx.E30A.REM.IBUS.OS._INT.13.1_14_PERCT.TTL</v>
      </c>
      <c r="B879" s="88">
        <f>PAGE6!$P$64</f>
        <v>0</v>
      </c>
      <c r="C879" s="89">
        <f>PAGE6!$R$64</f>
        <v>0</v>
      </c>
    </row>
    <row r="880" spans="1:3" x14ac:dyDescent="0.35">
      <c r="A880" s="193" t="str">
        <f>$C$1&amp;".E30A.REM.FR.IBUS.OS._INT.14.1_15_PERCT"</f>
        <v>xxxx.E30A.REM.FR.IBUS.OS._INT.14.1_15_PERCT</v>
      </c>
      <c r="B880" s="88">
        <f>PAGE6!$C$65</f>
        <v>0</v>
      </c>
      <c r="C880" s="89">
        <f>PAGE6!$E$65</f>
        <v>0</v>
      </c>
    </row>
    <row r="881" spans="1:3" x14ac:dyDescent="0.35">
      <c r="A881" s="193" t="str">
        <f>$C$1&amp;".E30A.REM.VAR.IBUS.OS._INT.14.1_15_PERCT"</f>
        <v>xxxx.E30A.REM.VAR.IBUS.OS._INT.14.1_15_PERCT</v>
      </c>
      <c r="B881" s="88">
        <f>PAGE6!$G$65</f>
        <v>0</v>
      </c>
      <c r="C881" s="89">
        <f>PAGE6!$I$65</f>
        <v>0</v>
      </c>
    </row>
    <row r="882" spans="1:3" x14ac:dyDescent="0.35">
      <c r="A882" s="193" t="str">
        <f>$C$1&amp;".E30A.REM.ADJ.IBUS.OS._INT.14.1_15_PERCT"</f>
        <v>xxxx.E30A.REM.ADJ.IBUS.OS._INT.14.1_15_PERCT</v>
      </c>
      <c r="B882" s="88">
        <f>PAGE6!$K$65</f>
        <v>0</v>
      </c>
      <c r="C882" s="89">
        <f>PAGE6!$M$65</f>
        <v>0</v>
      </c>
    </row>
    <row r="883" spans="1:3" x14ac:dyDescent="0.35">
      <c r="A883" s="193" t="str">
        <f>$C$1&amp;".E30A.REM.IBUS.OS._INT.14.1_15_PERCT.TTL"</f>
        <v>xxxx.E30A.REM.IBUS.OS._INT.14.1_15_PERCT.TTL</v>
      </c>
      <c r="B883" s="88">
        <f>PAGE6!$P$65</f>
        <v>0</v>
      </c>
      <c r="C883" s="89">
        <f>PAGE6!$R$65</f>
        <v>0</v>
      </c>
    </row>
    <row r="884" spans="1:3" x14ac:dyDescent="0.35">
      <c r="A884" s="193" t="str">
        <f>$C$1&amp;".E30A.REM.FR.IBUS.OS._INT.OVR_15.1_PERCT"</f>
        <v>xxxx.E30A.REM.FR.IBUS.OS._INT.OVR_15.1_PERCT</v>
      </c>
      <c r="B884" s="88">
        <f>PAGE6!$C$66</f>
        <v>0</v>
      </c>
      <c r="C884" s="89">
        <f>PAGE6!$E$66</f>
        <v>0</v>
      </c>
    </row>
    <row r="885" spans="1:3" x14ac:dyDescent="0.35">
      <c r="A885" s="193" t="str">
        <f>$C$1&amp;".E30A.REM.VAR.IBUS.OS._INT.OVR_15.1_PERCT"</f>
        <v>xxxx.E30A.REM.VAR.IBUS.OS._INT.OVR_15.1_PERCT</v>
      </c>
      <c r="B885" s="88">
        <f>PAGE6!$G$66</f>
        <v>0</v>
      </c>
      <c r="C885" s="89">
        <f>PAGE6!$I$66</f>
        <v>0</v>
      </c>
    </row>
    <row r="886" spans="1:3" x14ac:dyDescent="0.35">
      <c r="A886" s="193" t="str">
        <f>$C$1&amp;".E30A.REM.ADJ.IBUS.OS._INT.OVR_15.1_PERCT"</f>
        <v>xxxx.E30A.REM.ADJ.IBUS.OS._INT.OVR_15.1_PERCT</v>
      </c>
      <c r="B886" s="88">
        <f>PAGE6!$K$66</f>
        <v>0</v>
      </c>
      <c r="C886" s="89">
        <f>PAGE6!$M$66</f>
        <v>0</v>
      </c>
    </row>
    <row r="887" spans="1:3" x14ac:dyDescent="0.35">
      <c r="A887" s="193" t="str">
        <f>$C$1&amp;".E30A.REM.IBUS.OS._INT.OVR_15.1_PERCT.TTL"</f>
        <v>xxxx.E30A.REM.IBUS.OS._INT.OVR_15.1_PERCT.TTL</v>
      </c>
      <c r="B887" s="88">
        <f>PAGE6!$P$66</f>
        <v>0</v>
      </c>
      <c r="C887" s="89">
        <f>PAGE6!$R$66</f>
        <v>0</v>
      </c>
    </row>
    <row r="888" spans="1:3" x14ac:dyDescent="0.35">
      <c r="A888" s="193" t="str">
        <f>$C$1&amp;".E30A.REM.FR.UIBUS.OS._INT.0_3_PERCT"</f>
        <v>xxxx.E30A.REM.FR.UIBUS.OS._INT.0_3_PERCT</v>
      </c>
      <c r="B888" s="88">
        <f>PAGE6!$C$70</f>
        <v>0</v>
      </c>
      <c r="C888" s="89">
        <f>PAGE6!$E$70</f>
        <v>0</v>
      </c>
    </row>
    <row r="889" spans="1:3" x14ac:dyDescent="0.35">
      <c r="A889" s="193" t="str">
        <f>$C$1&amp;".E30A.REM.VAR.UIBUS.OS._INT.0_3_PERCT"</f>
        <v>xxxx.E30A.REM.VAR.UIBUS.OS._INT.0_3_PERCT</v>
      </c>
      <c r="B889" s="88">
        <f>PAGE6!$G$70</f>
        <v>0</v>
      </c>
      <c r="C889" s="89">
        <f>PAGE6!$I$70</f>
        <v>0</v>
      </c>
    </row>
    <row r="890" spans="1:3" x14ac:dyDescent="0.35">
      <c r="A890" s="193" t="str">
        <f>$C$1&amp;".E30A.REM.ADJ.UIBUS.OS._INT.0_3_PERCT"</f>
        <v>xxxx.E30A.REM.ADJ.UIBUS.OS._INT.0_3_PERCT</v>
      </c>
      <c r="B890" s="88">
        <f>PAGE6!$K$70</f>
        <v>0</v>
      </c>
      <c r="C890" s="89">
        <f>PAGE6!$M$70</f>
        <v>0</v>
      </c>
    </row>
    <row r="891" spans="1:3" x14ac:dyDescent="0.35">
      <c r="A891" s="193" t="str">
        <f>$C$1&amp;".E30A.REM.UIBUS.OS._INT.0_3_PERCT.TTL"</f>
        <v>xxxx.E30A.REM.UIBUS.OS._INT.0_3_PERCT.TTL</v>
      </c>
      <c r="B891" s="88">
        <f>PAGE6!$P$70</f>
        <v>0</v>
      </c>
      <c r="C891" s="89">
        <f>PAGE6!$R$70</f>
        <v>0</v>
      </c>
    </row>
    <row r="892" spans="1:3" x14ac:dyDescent="0.35">
      <c r="A892" s="193" t="str">
        <f>$C$1&amp;".E30A.REM.FR.UIBUS.OS._INT.3.1_4_PERCT"</f>
        <v>xxxx.E30A.REM.FR.UIBUS.OS._INT.3.1_4_PERCT</v>
      </c>
      <c r="B892" s="88">
        <f>PAGE6!$C$71</f>
        <v>0</v>
      </c>
      <c r="C892" s="89">
        <f>PAGE6!$E$71</f>
        <v>0</v>
      </c>
    </row>
    <row r="893" spans="1:3" x14ac:dyDescent="0.35">
      <c r="A893" s="193" t="str">
        <f>$C$1&amp;".E30A.REM.VAR.UIBUS.OS._INT.3.1_4_PERCT"</f>
        <v>xxxx.E30A.REM.VAR.UIBUS.OS._INT.3.1_4_PERCT</v>
      </c>
      <c r="B893" s="88">
        <f>PAGE6!$G$71</f>
        <v>0</v>
      </c>
      <c r="C893" s="89">
        <f>PAGE6!$I$71</f>
        <v>0</v>
      </c>
    </row>
    <row r="894" spans="1:3" x14ac:dyDescent="0.35">
      <c r="A894" s="193" t="str">
        <f>$C$1&amp;".E30A.REM.ADJ.UIBUS.OS._INT.3.1_4_PERCT"</f>
        <v>xxxx.E30A.REM.ADJ.UIBUS.OS._INT.3.1_4_PERCT</v>
      </c>
      <c r="B894" s="88">
        <f>PAGE6!$K$71</f>
        <v>0</v>
      </c>
      <c r="C894" s="89">
        <f>PAGE6!$M$71</f>
        <v>0</v>
      </c>
    </row>
    <row r="895" spans="1:3" x14ac:dyDescent="0.35">
      <c r="A895" s="193" t="str">
        <f>$C$1&amp;".E30A.REM.UIBUS.OS._INT.3.1_4_PERCT.TTL"</f>
        <v>xxxx.E30A.REM.UIBUS.OS._INT.3.1_4_PERCT.TTL</v>
      </c>
      <c r="B895" s="88">
        <f>PAGE6!$P$71</f>
        <v>0</v>
      </c>
      <c r="C895" s="89">
        <f>PAGE6!$R$71</f>
        <v>0</v>
      </c>
    </row>
    <row r="896" spans="1:3" x14ac:dyDescent="0.35">
      <c r="A896" s="193" t="str">
        <f>$C$1&amp;".E30A.REM.FR.UIBUS.OS._INT.4.1_5_PERCT"</f>
        <v>xxxx.E30A.REM.FR.UIBUS.OS._INT.4.1_5_PERCT</v>
      </c>
      <c r="B896" s="88">
        <f>PAGE6!$C$72</f>
        <v>0</v>
      </c>
      <c r="C896" s="89">
        <f>PAGE6!$E$72</f>
        <v>0</v>
      </c>
    </row>
    <row r="897" spans="1:3" x14ac:dyDescent="0.35">
      <c r="A897" s="193" t="str">
        <f>$C$1&amp;".E30A.REM.VAR.UIBUS.OS._INT.4.1_5_PERCT"</f>
        <v>xxxx.E30A.REM.VAR.UIBUS.OS._INT.4.1_5_PERCT</v>
      </c>
      <c r="B897" s="88">
        <f>PAGE6!$G$72</f>
        <v>0</v>
      </c>
      <c r="C897" s="89">
        <f>PAGE6!$I$72</f>
        <v>0</v>
      </c>
    </row>
    <row r="898" spans="1:3" x14ac:dyDescent="0.35">
      <c r="A898" s="193" t="str">
        <f>$C$1&amp;".E30A.REM.ADJ.UIBUS.OS._INT.4.1_5_PERCT"</f>
        <v>xxxx.E30A.REM.ADJ.UIBUS.OS._INT.4.1_5_PERCT</v>
      </c>
      <c r="B898" s="88">
        <f>PAGE6!$K$72</f>
        <v>0</v>
      </c>
      <c r="C898" s="89">
        <f>PAGE6!$M$72</f>
        <v>0</v>
      </c>
    </row>
    <row r="899" spans="1:3" x14ac:dyDescent="0.35">
      <c r="A899" s="193" t="str">
        <f>$C$1&amp;".E30A.REM.UIBUS.OS._INT.4.1_5_PERCT.TTL"</f>
        <v>xxxx.E30A.REM.UIBUS.OS._INT.4.1_5_PERCT.TTL</v>
      </c>
      <c r="B899" s="88">
        <f>PAGE6!$P$72</f>
        <v>0</v>
      </c>
      <c r="C899" s="89">
        <f>PAGE6!$R$72</f>
        <v>0</v>
      </c>
    </row>
    <row r="900" spans="1:3" x14ac:dyDescent="0.35">
      <c r="A900" s="193" t="str">
        <f>$C$1&amp;".E30A.REM.FR.UIBUS.OS._INT.5.1_6_PERCT"</f>
        <v>xxxx.E30A.REM.FR.UIBUS.OS._INT.5.1_6_PERCT</v>
      </c>
      <c r="B900" s="88">
        <f>PAGE6!$C$73</f>
        <v>0</v>
      </c>
      <c r="C900" s="89">
        <f>PAGE6!$E$73</f>
        <v>0</v>
      </c>
    </row>
    <row r="901" spans="1:3" x14ac:dyDescent="0.35">
      <c r="A901" s="193" t="str">
        <f>$C$1&amp;".E30A.REM.VAR.UIBUS.OS._INT.5.1_6_PERCT"</f>
        <v>xxxx.E30A.REM.VAR.UIBUS.OS._INT.5.1_6_PERCT</v>
      </c>
      <c r="B901" s="88">
        <f>PAGE6!$G$73</f>
        <v>0</v>
      </c>
      <c r="C901" s="89">
        <f>PAGE6!$I$73</f>
        <v>0</v>
      </c>
    </row>
    <row r="902" spans="1:3" x14ac:dyDescent="0.35">
      <c r="A902" s="193" t="str">
        <f>$C$1&amp;".E30A.REM.ADJ.UIBUS.OS._INT.5.1_6_PERCT"</f>
        <v>xxxx.E30A.REM.ADJ.UIBUS.OS._INT.5.1_6_PERCT</v>
      </c>
      <c r="B902" s="88">
        <f>PAGE6!$K$73</f>
        <v>0</v>
      </c>
      <c r="C902" s="89">
        <f>PAGE6!$M$73</f>
        <v>0</v>
      </c>
    </row>
    <row r="903" spans="1:3" x14ac:dyDescent="0.35">
      <c r="A903" s="193" t="str">
        <f>$C$1&amp;".E30A.REM.UIBUS.OS._INT.5.1_6_PERCT.TTL"</f>
        <v>xxxx.E30A.REM.UIBUS.OS._INT.5.1_6_PERCT.TTL</v>
      </c>
      <c r="B903" s="88">
        <f>PAGE6!$P$73</f>
        <v>0</v>
      </c>
      <c r="C903" s="89">
        <f>PAGE6!$R$73</f>
        <v>0</v>
      </c>
    </row>
    <row r="904" spans="1:3" x14ac:dyDescent="0.35">
      <c r="A904" s="193" t="str">
        <f>$C$1&amp;".E30A.REM.FR.UIBUS.OS._INT.6.1_7_PERCT"</f>
        <v>xxxx.E30A.REM.FR.UIBUS.OS._INT.6.1_7_PERCT</v>
      </c>
      <c r="B904" s="88">
        <f>PAGE6!$C$74</f>
        <v>0</v>
      </c>
      <c r="C904" s="89">
        <f>PAGE6!$E$74</f>
        <v>0</v>
      </c>
    </row>
    <row r="905" spans="1:3" x14ac:dyDescent="0.35">
      <c r="A905" s="193" t="str">
        <f>$C$1&amp;".E30A.REM.VAR.UIBUS.OS._INT.6.1_7_PERCT"</f>
        <v>xxxx.E30A.REM.VAR.UIBUS.OS._INT.6.1_7_PERCT</v>
      </c>
      <c r="B905" s="88">
        <f>PAGE6!$G$74</f>
        <v>0</v>
      </c>
      <c r="C905" s="89">
        <f>PAGE6!$I$74</f>
        <v>0</v>
      </c>
    </row>
    <row r="906" spans="1:3" x14ac:dyDescent="0.35">
      <c r="A906" s="193" t="str">
        <f>$C$1&amp;".E30A.REM.ADJ.UIBUS.OS._INT.6.1_7_PERCT"</f>
        <v>xxxx.E30A.REM.ADJ.UIBUS.OS._INT.6.1_7_PERCT</v>
      </c>
      <c r="B906" s="88">
        <f>PAGE6!$K$74</f>
        <v>0</v>
      </c>
      <c r="C906" s="89">
        <f>PAGE6!$M$74</f>
        <v>0</v>
      </c>
    </row>
    <row r="907" spans="1:3" x14ac:dyDescent="0.35">
      <c r="A907" s="193" t="str">
        <f>$C$1&amp;".E30A.REM.UIBUS.OS._INT.6.1_7_PERCT.TTL"</f>
        <v>xxxx.E30A.REM.UIBUS.OS._INT.6.1_7_PERCT.TTL</v>
      </c>
      <c r="B907" s="88">
        <f>PAGE6!$P$74</f>
        <v>0</v>
      </c>
      <c r="C907" s="89">
        <f>PAGE6!$R$74</f>
        <v>0</v>
      </c>
    </row>
    <row r="908" spans="1:3" x14ac:dyDescent="0.35">
      <c r="A908" s="193" t="str">
        <f>$C$1&amp;".E30A.REM.FR.UIBUS.OS._INT.7.1_8_PERCT"</f>
        <v>xxxx.E30A.REM.FR.UIBUS.OS._INT.7.1_8_PERCT</v>
      </c>
      <c r="B908" s="88">
        <f>PAGE6!$C$75</f>
        <v>0</v>
      </c>
      <c r="C908" s="89">
        <f>PAGE6!$E$75</f>
        <v>0</v>
      </c>
    </row>
    <row r="909" spans="1:3" x14ac:dyDescent="0.35">
      <c r="A909" s="193" t="str">
        <f>$C$1&amp;".E30A.REM.VAR.UIBUS.OS._INT.7.1_8_PERCT"</f>
        <v>xxxx.E30A.REM.VAR.UIBUS.OS._INT.7.1_8_PERCT</v>
      </c>
      <c r="B909" s="88">
        <f>PAGE6!$G$75</f>
        <v>0</v>
      </c>
      <c r="C909" s="89">
        <f>PAGE6!$I$75</f>
        <v>0</v>
      </c>
    </row>
    <row r="910" spans="1:3" x14ac:dyDescent="0.35">
      <c r="A910" s="193" t="str">
        <f>$C$1&amp;".E30A.REM.ADJ.UIBUS.OS._INT.7.1_8_PERCT"</f>
        <v>xxxx.E30A.REM.ADJ.UIBUS.OS._INT.7.1_8_PERCT</v>
      </c>
      <c r="B910" s="88">
        <f>PAGE6!$K$75</f>
        <v>0</v>
      </c>
      <c r="C910" s="89">
        <f>PAGE6!$M$75</f>
        <v>0</v>
      </c>
    </row>
    <row r="911" spans="1:3" x14ac:dyDescent="0.35">
      <c r="A911" s="193" t="str">
        <f>$C$1&amp;".E30A.REM.UIBUS.OS._INT.7.1_8_PERCT.TTL"</f>
        <v>xxxx.E30A.REM.UIBUS.OS._INT.7.1_8_PERCT.TTL</v>
      </c>
      <c r="B911" s="88">
        <f>PAGE6!$P$75</f>
        <v>0</v>
      </c>
      <c r="C911" s="89">
        <f>PAGE6!$R$75</f>
        <v>0</v>
      </c>
    </row>
    <row r="912" spans="1:3" x14ac:dyDescent="0.35">
      <c r="A912" s="193" t="str">
        <f>$C$1&amp;".E30A.REM.FR.UIBUS.OS._INT.8.1_9_PERCT"</f>
        <v>xxxx.E30A.REM.FR.UIBUS.OS._INT.8.1_9_PERCT</v>
      </c>
      <c r="B912" s="88">
        <f>PAGE6!$C$76</f>
        <v>0</v>
      </c>
      <c r="C912" s="89">
        <f>PAGE6!$E$76</f>
        <v>0</v>
      </c>
    </row>
    <row r="913" spans="1:3" x14ac:dyDescent="0.35">
      <c r="A913" s="193" t="str">
        <f>$C$1&amp;".E30A.REM.VAR.UIBUS.OS._INT.8.1_9_PERCT"</f>
        <v>xxxx.E30A.REM.VAR.UIBUS.OS._INT.8.1_9_PERCT</v>
      </c>
      <c r="B913" s="88">
        <f>PAGE6!$G$76</f>
        <v>0</v>
      </c>
      <c r="C913" s="89">
        <f>PAGE6!$I$76</f>
        <v>0</v>
      </c>
    </row>
    <row r="914" spans="1:3" x14ac:dyDescent="0.35">
      <c r="A914" s="193" t="str">
        <f>$C$1&amp;".E30A.REM.ADJ.UIBUS.OS._INT.8.1_9_PERCT"</f>
        <v>xxxx.E30A.REM.ADJ.UIBUS.OS._INT.8.1_9_PERCT</v>
      </c>
      <c r="B914" s="88">
        <f>PAGE6!$K$76</f>
        <v>0</v>
      </c>
      <c r="C914" s="89">
        <f>PAGE6!$M$76</f>
        <v>0</v>
      </c>
    </row>
    <row r="915" spans="1:3" x14ac:dyDescent="0.35">
      <c r="A915" s="193" t="str">
        <f>$C$1&amp;".E30A.REM.UIBUS.OS._INT.8.1_9_PERCT.TTL"</f>
        <v>xxxx.E30A.REM.UIBUS.OS._INT.8.1_9_PERCT.TTL</v>
      </c>
      <c r="B915" s="88">
        <f>PAGE6!$P$76</f>
        <v>0</v>
      </c>
      <c r="C915" s="89">
        <f>PAGE6!$R$76</f>
        <v>0</v>
      </c>
    </row>
    <row r="916" spans="1:3" x14ac:dyDescent="0.35">
      <c r="A916" s="193" t="str">
        <f>$C$1&amp;".E30A.REM.FR.UIBUS.OS._INT.9.1_10_PERCT"</f>
        <v>xxxx.E30A.REM.FR.UIBUS.OS._INT.9.1_10_PERCT</v>
      </c>
      <c r="B916" s="88">
        <f>PAGE6!$C$77</f>
        <v>0</v>
      </c>
      <c r="C916" s="89">
        <f>PAGE6!$E$77</f>
        <v>0</v>
      </c>
    </row>
    <row r="917" spans="1:3" x14ac:dyDescent="0.35">
      <c r="A917" s="193" t="str">
        <f>$C$1&amp;".E30A.REM.VAR.UIBUS.OS._INT.9.1_10_PERCT"</f>
        <v>xxxx.E30A.REM.VAR.UIBUS.OS._INT.9.1_10_PERCT</v>
      </c>
      <c r="B917" s="88">
        <f>PAGE6!$G$77</f>
        <v>0</v>
      </c>
      <c r="C917" s="89">
        <f>PAGE6!$I$77</f>
        <v>0</v>
      </c>
    </row>
    <row r="918" spans="1:3" x14ac:dyDescent="0.35">
      <c r="A918" s="193" t="str">
        <f>$C$1&amp;".E30A.REM.ADJ.UIBUS.OS._INT.9.1_10_PERCT"</f>
        <v>xxxx.E30A.REM.ADJ.UIBUS.OS._INT.9.1_10_PERCT</v>
      </c>
      <c r="B918" s="88">
        <f>PAGE6!$K$77</f>
        <v>0</v>
      </c>
      <c r="C918" s="89">
        <f>PAGE6!$M$77</f>
        <v>0</v>
      </c>
    </row>
    <row r="919" spans="1:3" x14ac:dyDescent="0.35">
      <c r="A919" s="193" t="str">
        <f>$C$1&amp;".E30A.REM.UIBUS.OS._INT.9.1_10_PERCT.TTL"</f>
        <v>xxxx.E30A.REM.UIBUS.OS._INT.9.1_10_PERCT.TTL</v>
      </c>
      <c r="B919" s="88">
        <f>PAGE6!$P$77</f>
        <v>0</v>
      </c>
      <c r="C919" s="89">
        <f>PAGE6!$R$77</f>
        <v>0</v>
      </c>
    </row>
    <row r="920" spans="1:3" x14ac:dyDescent="0.35">
      <c r="A920" s="193" t="str">
        <f>$C$1&amp;".E30A.REM.FR.UIBUS.OS._INT.10.1_11_PERCT"</f>
        <v>xxxx.E30A.REM.FR.UIBUS.OS._INT.10.1_11_PERCT</v>
      </c>
      <c r="B920" s="88">
        <f>PAGE6!$C$78</f>
        <v>0</v>
      </c>
      <c r="C920" s="89">
        <f>PAGE6!$E$78</f>
        <v>0</v>
      </c>
    </row>
    <row r="921" spans="1:3" x14ac:dyDescent="0.35">
      <c r="A921" s="193" t="str">
        <f>$C$1&amp;".E30A.REM.VAR.UIBUS.OS._INT.10.1_11_PERCT"</f>
        <v>xxxx.E30A.REM.VAR.UIBUS.OS._INT.10.1_11_PERCT</v>
      </c>
      <c r="B921" s="88">
        <f>PAGE6!$G$78</f>
        <v>0</v>
      </c>
      <c r="C921" s="89">
        <f>PAGE6!$I$78</f>
        <v>0</v>
      </c>
    </row>
    <row r="922" spans="1:3" x14ac:dyDescent="0.35">
      <c r="A922" s="193" t="str">
        <f>$C$1&amp;".E30A.REM.ADJ.UIBUS.OS._INT.10.1_11_PERCT"</f>
        <v>xxxx.E30A.REM.ADJ.UIBUS.OS._INT.10.1_11_PERCT</v>
      </c>
      <c r="B922" s="88">
        <f>PAGE6!$K$78</f>
        <v>0</v>
      </c>
      <c r="C922" s="89">
        <f>PAGE6!$M$78</f>
        <v>0</v>
      </c>
    </row>
    <row r="923" spans="1:3" x14ac:dyDescent="0.35">
      <c r="A923" s="193" t="str">
        <f>$C$1&amp;".E30A.REM.UIBUS.OS._INT.10.1_11_PERCT.TTL"</f>
        <v>xxxx.E30A.REM.UIBUS.OS._INT.10.1_11_PERCT.TTL</v>
      </c>
      <c r="B923" s="88">
        <f>PAGE6!$P$78</f>
        <v>0</v>
      </c>
      <c r="C923" s="89">
        <f>PAGE6!$R$78</f>
        <v>0</v>
      </c>
    </row>
    <row r="924" spans="1:3" x14ac:dyDescent="0.35">
      <c r="A924" s="193" t="str">
        <f>$C$1&amp;".E30A.REM.FR.UIBUS.OS._INT.11.1_12_PERCT"</f>
        <v>xxxx.E30A.REM.FR.UIBUS.OS._INT.11.1_12_PERCT</v>
      </c>
      <c r="B924" s="88">
        <f>PAGE6!$C$79</f>
        <v>0</v>
      </c>
      <c r="C924" s="89">
        <f>PAGE6!$E$79</f>
        <v>0</v>
      </c>
    </row>
    <row r="925" spans="1:3" x14ac:dyDescent="0.35">
      <c r="A925" s="193" t="str">
        <f>$C$1&amp;".E30A.REM.VAR.UIBUS.OS._INT.11.1_12_PERCT"</f>
        <v>xxxx.E30A.REM.VAR.UIBUS.OS._INT.11.1_12_PERCT</v>
      </c>
      <c r="B925" s="88">
        <f>PAGE6!$G$79</f>
        <v>0</v>
      </c>
      <c r="C925" s="89">
        <f>PAGE6!$I$79</f>
        <v>0</v>
      </c>
    </row>
    <row r="926" spans="1:3" x14ac:dyDescent="0.35">
      <c r="A926" s="193" t="str">
        <f>$C$1&amp;".E30A.REM.ADJ.UIBUS.OS._INT.11.1_12_PERCT"</f>
        <v>xxxx.E30A.REM.ADJ.UIBUS.OS._INT.11.1_12_PERCT</v>
      </c>
      <c r="B926" s="88">
        <f>PAGE6!$K$79</f>
        <v>0</v>
      </c>
      <c r="C926" s="89">
        <f>PAGE6!$M$79</f>
        <v>0</v>
      </c>
    </row>
    <row r="927" spans="1:3" x14ac:dyDescent="0.35">
      <c r="A927" s="193" t="str">
        <f>$C$1&amp;".E30A.REM.UIBUS.OS._INT.11.1_12_PERCT.TTL"</f>
        <v>xxxx.E30A.REM.UIBUS.OS._INT.11.1_12_PERCT.TTL</v>
      </c>
      <c r="B927" s="88">
        <f>PAGE6!$P$79</f>
        <v>0</v>
      </c>
      <c r="C927" s="89">
        <f>PAGE6!$R$79</f>
        <v>0</v>
      </c>
    </row>
    <row r="928" spans="1:3" x14ac:dyDescent="0.35">
      <c r="A928" s="193" t="str">
        <f>$C$1&amp;".E30A.REM.FR.UIBUS.OS._INT.12.1_13_PERCT"</f>
        <v>xxxx.E30A.REM.FR.UIBUS.OS._INT.12.1_13_PERCT</v>
      </c>
      <c r="B928" s="88">
        <f>PAGE6!$C$80</f>
        <v>0</v>
      </c>
      <c r="C928" s="89">
        <f>PAGE6!$E$80</f>
        <v>0</v>
      </c>
    </row>
    <row r="929" spans="1:3" x14ac:dyDescent="0.35">
      <c r="A929" s="193" t="str">
        <f>$C$1&amp;".E30A.REM.VAR.UIBUS.OS._INT.12.1_13_PERCT"</f>
        <v>xxxx.E30A.REM.VAR.UIBUS.OS._INT.12.1_13_PERCT</v>
      </c>
      <c r="B929" s="88">
        <f>PAGE6!$G$80</f>
        <v>0</v>
      </c>
      <c r="C929" s="89">
        <f>PAGE6!$I$80</f>
        <v>0</v>
      </c>
    </row>
    <row r="930" spans="1:3" x14ac:dyDescent="0.35">
      <c r="A930" s="193" t="str">
        <f>$C$1&amp;".E30A.REM.ADJ.UIBUS.OS._INT.12.1_13_PERCT"</f>
        <v>xxxx.E30A.REM.ADJ.UIBUS.OS._INT.12.1_13_PERCT</v>
      </c>
      <c r="B930" s="88">
        <f>PAGE6!$K$80</f>
        <v>0</v>
      </c>
      <c r="C930" s="89">
        <f>PAGE6!$M$80</f>
        <v>0</v>
      </c>
    </row>
    <row r="931" spans="1:3" x14ac:dyDescent="0.35">
      <c r="A931" s="193" t="str">
        <f>$C$1&amp;".E30A.REM.UIBUS.OS._INT.12.1_13_PERCT.TTL"</f>
        <v>xxxx.E30A.REM.UIBUS.OS._INT.12.1_13_PERCT.TTL</v>
      </c>
      <c r="B931" s="88">
        <f>PAGE6!$P$80</f>
        <v>0</v>
      </c>
      <c r="C931" s="89">
        <f>PAGE6!$R$80</f>
        <v>0</v>
      </c>
    </row>
    <row r="932" spans="1:3" x14ac:dyDescent="0.35">
      <c r="A932" s="193" t="str">
        <f>$C$1&amp;".E30A.REM.FR.UIBUS.OS._INT.13.1_14_PERCT"</f>
        <v>xxxx.E30A.REM.FR.UIBUS.OS._INT.13.1_14_PERCT</v>
      </c>
      <c r="B932" s="88">
        <f>PAGE6!$C$81</f>
        <v>0</v>
      </c>
      <c r="C932" s="89">
        <f>PAGE6!$E$81</f>
        <v>0</v>
      </c>
    </row>
    <row r="933" spans="1:3" x14ac:dyDescent="0.35">
      <c r="A933" s="193" t="str">
        <f>$C$1&amp;".E30A.REM.VAR.UIBUS.OS._INT.13.1_14_PERCT"</f>
        <v>xxxx.E30A.REM.VAR.UIBUS.OS._INT.13.1_14_PERCT</v>
      </c>
      <c r="B933" s="88">
        <f>PAGE6!$G$81</f>
        <v>0</v>
      </c>
      <c r="C933" s="89">
        <f>PAGE6!$I$81</f>
        <v>0</v>
      </c>
    </row>
    <row r="934" spans="1:3" x14ac:dyDescent="0.35">
      <c r="A934" s="193" t="str">
        <f>$C$1&amp;".E30A.REM.ADJ.UIBUS.OS._INT.13.1_14_PERCT"</f>
        <v>xxxx.E30A.REM.ADJ.UIBUS.OS._INT.13.1_14_PERCT</v>
      </c>
      <c r="B934" s="88">
        <f>PAGE6!$K$81</f>
        <v>0</v>
      </c>
      <c r="C934" s="89">
        <f>PAGE6!$M$81</f>
        <v>0</v>
      </c>
    </row>
    <row r="935" spans="1:3" x14ac:dyDescent="0.35">
      <c r="A935" s="193" t="str">
        <f>$C$1&amp;".E30A.REM.UIBUS.OS._INT.13.1_14_PERCT.TTL"</f>
        <v>xxxx.E30A.REM.UIBUS.OS._INT.13.1_14_PERCT.TTL</v>
      </c>
      <c r="B935" s="88">
        <f>PAGE6!$P$81</f>
        <v>0</v>
      </c>
      <c r="C935" s="89">
        <f>PAGE6!$R$81</f>
        <v>0</v>
      </c>
    </row>
    <row r="936" spans="1:3" x14ac:dyDescent="0.35">
      <c r="A936" s="193" t="str">
        <f>$C$1&amp;".E30A.REM.FR.UIBUS.OS._INT.14.1_15_PERCT"</f>
        <v>xxxx.E30A.REM.FR.UIBUS.OS._INT.14.1_15_PERCT</v>
      </c>
      <c r="B936" s="88">
        <f>PAGE6!$C$82</f>
        <v>0</v>
      </c>
      <c r="C936" s="89">
        <f>PAGE6!$E$82</f>
        <v>0</v>
      </c>
    </row>
    <row r="937" spans="1:3" x14ac:dyDescent="0.35">
      <c r="A937" s="193" t="str">
        <f>$C$1&amp;".E30A.REM.VAR.UIBUS.OS._INT.14.1_15_PERCT"</f>
        <v>xxxx.E30A.REM.VAR.UIBUS.OS._INT.14.1_15_PERCT</v>
      </c>
      <c r="B937" s="88">
        <f>PAGE6!$G$82</f>
        <v>0</v>
      </c>
      <c r="C937" s="89">
        <f>PAGE6!$I$82</f>
        <v>0</v>
      </c>
    </row>
    <row r="938" spans="1:3" x14ac:dyDescent="0.35">
      <c r="A938" s="193" t="str">
        <f>$C$1&amp;".E30A.REM.ADJ.UIBUS.OS._INT.14.1_15_PERCT"</f>
        <v>xxxx.E30A.REM.ADJ.UIBUS.OS._INT.14.1_15_PERCT</v>
      </c>
      <c r="B938" s="88">
        <f>PAGE6!$K$82</f>
        <v>0</v>
      </c>
      <c r="C938" s="89">
        <f>PAGE6!$M$82</f>
        <v>0</v>
      </c>
    </row>
    <row r="939" spans="1:3" x14ac:dyDescent="0.35">
      <c r="A939" s="193" t="str">
        <f>$C$1&amp;".E30A.REM.UIBUS.OS._INT.14.1_15_PERCT.TTL"</f>
        <v>xxxx.E30A.REM.UIBUS.OS._INT.14.1_15_PERCT.TTL</v>
      </c>
      <c r="B939" s="88">
        <f>PAGE6!$P$82</f>
        <v>0</v>
      </c>
      <c r="C939" s="89">
        <f>PAGE6!$R$82</f>
        <v>0</v>
      </c>
    </row>
    <row r="940" spans="1:3" x14ac:dyDescent="0.35">
      <c r="A940" s="193" t="str">
        <f>$C$1&amp;".E30A.REM.FR.UIBUS.OS._INT.OVR_15.1_PERCT"</f>
        <v>xxxx.E30A.REM.FR.UIBUS.OS._INT.OVR_15.1_PERCT</v>
      </c>
      <c r="B940" s="88">
        <f>PAGE6!$C$83</f>
        <v>0</v>
      </c>
      <c r="C940" s="89">
        <f>PAGE6!$E$83</f>
        <v>0</v>
      </c>
    </row>
    <row r="941" spans="1:3" x14ac:dyDescent="0.35">
      <c r="A941" s="193" t="str">
        <f>$C$1&amp;".E30A.REM.VAR.UIBUS.OS._INT.OVR_15.1_PERCT"</f>
        <v>xxxx.E30A.REM.VAR.UIBUS.OS._INT.OVR_15.1_PERCT</v>
      </c>
      <c r="B941" s="88">
        <f>PAGE6!$G$83</f>
        <v>0</v>
      </c>
      <c r="C941" s="89">
        <f>PAGE6!$I$83</f>
        <v>0</v>
      </c>
    </row>
    <row r="942" spans="1:3" x14ac:dyDescent="0.35">
      <c r="A942" s="193" t="str">
        <f>$C$1&amp;".E30A.REM.ADJ.UIBUS.OS._INT.OVR_15.1_PERCT"</f>
        <v>xxxx.E30A.REM.ADJ.UIBUS.OS._INT.OVR_15.1_PERCT</v>
      </c>
      <c r="B942" s="88">
        <f>PAGE6!$K$83</f>
        <v>0</v>
      </c>
      <c r="C942" s="89">
        <f>PAGE6!$M$83</f>
        <v>0</v>
      </c>
    </row>
    <row r="943" spans="1:3" x14ac:dyDescent="0.35">
      <c r="A943" s="193" t="str">
        <f>$C$1&amp;".E30A.REM.UIBUS.OS._INT.OVR_15.1_PERCT.TTL"</f>
        <v>xxxx.E30A.REM.UIBUS.OS._INT.OVR_15.1_PERCT.TTL</v>
      </c>
      <c r="B943" s="88">
        <f>PAGE6!$P$83</f>
        <v>0</v>
      </c>
      <c r="C943" s="89">
        <f>PAGE6!$R$83</f>
        <v>0</v>
      </c>
    </row>
    <row r="944" spans="1:3" x14ac:dyDescent="0.35">
      <c r="A944" s="193" t="str">
        <f>$C$1&amp;".E30A.REM.FR.CONSM.OS._INT.0_3_PERCT"</f>
        <v>xxxx.E30A.REM.FR.CONSM.OS._INT.0_3_PERCT</v>
      </c>
      <c r="B944" s="88">
        <f>PAGE6!$C$86</f>
        <v>0</v>
      </c>
      <c r="C944" s="89">
        <f>PAGE6!$E$86</f>
        <v>0</v>
      </c>
    </row>
    <row r="945" spans="1:3" x14ac:dyDescent="0.35">
      <c r="A945" s="193" t="str">
        <f>$C$1&amp;".E30A.REM.VAR.CONSM.OS._INT.0_3_PERCT"</f>
        <v>xxxx.E30A.REM.VAR.CONSM.OS._INT.0_3_PERCT</v>
      </c>
      <c r="B945" s="88">
        <f>PAGE6!$G$86</f>
        <v>0</v>
      </c>
      <c r="C945" s="89">
        <f>PAGE6!$I$86</f>
        <v>0</v>
      </c>
    </row>
    <row r="946" spans="1:3" x14ac:dyDescent="0.35">
      <c r="A946" s="193" t="str">
        <f>$C$1&amp;".E30A.REM.ADJ.CONSM.OS._INT.0_3_PERCT"</f>
        <v>xxxx.E30A.REM.ADJ.CONSM.OS._INT.0_3_PERCT</v>
      </c>
      <c r="B946" s="88">
        <f>PAGE6!$K$86</f>
        <v>0</v>
      </c>
      <c r="C946" s="89">
        <f>PAGE6!$M$86</f>
        <v>0</v>
      </c>
    </row>
    <row r="947" spans="1:3" x14ac:dyDescent="0.35">
      <c r="A947" s="193" t="str">
        <f>$C$1&amp;".E30A.REM.CONSM.OS._INT.0_3_PERCT.TTL"</f>
        <v>xxxx.E30A.REM.CONSM.OS._INT.0_3_PERCT.TTL</v>
      </c>
      <c r="B947" s="88">
        <f>PAGE6!$P$86</f>
        <v>0</v>
      </c>
      <c r="C947" s="89">
        <f>PAGE6!$R$86</f>
        <v>0</v>
      </c>
    </row>
    <row r="948" spans="1:3" x14ac:dyDescent="0.35">
      <c r="A948" s="193" t="str">
        <f>$C$1&amp;".E30A.REM.FR.CONSM.OS._INT.3.1_4_PERCT"</f>
        <v>xxxx.E30A.REM.FR.CONSM.OS._INT.3.1_4_PERCT</v>
      </c>
      <c r="B948" s="88">
        <f>PAGE6!$C$87</f>
        <v>0</v>
      </c>
      <c r="C948" s="89">
        <f>PAGE6!$E$87</f>
        <v>0</v>
      </c>
    </row>
    <row r="949" spans="1:3" x14ac:dyDescent="0.35">
      <c r="A949" s="193" t="str">
        <f>$C$1&amp;".E30A.REM.VAR.CONSM.OS._INT.3.1_4_PERCT"</f>
        <v>xxxx.E30A.REM.VAR.CONSM.OS._INT.3.1_4_PERCT</v>
      </c>
      <c r="B949" s="88">
        <f>PAGE6!$G$87</f>
        <v>0</v>
      </c>
      <c r="C949" s="89">
        <f>PAGE6!$I$87</f>
        <v>0</v>
      </c>
    </row>
    <row r="950" spans="1:3" x14ac:dyDescent="0.35">
      <c r="A950" s="193" t="str">
        <f>$C$1&amp;".E30A.REM.ADJ.CONSM.OS._INT.3.1_4_PERCT"</f>
        <v>xxxx.E30A.REM.ADJ.CONSM.OS._INT.3.1_4_PERCT</v>
      </c>
      <c r="B950" s="88">
        <f>PAGE6!$K$87</f>
        <v>0</v>
      </c>
      <c r="C950" s="89">
        <f>PAGE6!$M$87</f>
        <v>0</v>
      </c>
    </row>
    <row r="951" spans="1:3" x14ac:dyDescent="0.35">
      <c r="A951" s="193" t="str">
        <f>$C$1&amp;".E30A.REM.CONSM.OS._INT.3.1_4_PERCT.TTL"</f>
        <v>xxxx.E30A.REM.CONSM.OS._INT.3.1_4_PERCT.TTL</v>
      </c>
      <c r="B951" s="88">
        <f>PAGE6!$P$87</f>
        <v>0</v>
      </c>
      <c r="C951" s="89">
        <f>PAGE6!$R$87</f>
        <v>0</v>
      </c>
    </row>
    <row r="952" spans="1:3" x14ac:dyDescent="0.35">
      <c r="A952" s="193" t="str">
        <f>$C$1&amp;".E30A.REM.FR.CONSM.OS._INT.4.1_5_PERCT"</f>
        <v>xxxx.E30A.REM.FR.CONSM.OS._INT.4.1_5_PERCT</v>
      </c>
      <c r="B952" s="88">
        <f>PAGE6!$C$88</f>
        <v>0</v>
      </c>
      <c r="C952" s="89">
        <f>PAGE6!$E$88</f>
        <v>0</v>
      </c>
    </row>
    <row r="953" spans="1:3" x14ac:dyDescent="0.35">
      <c r="A953" s="193" t="str">
        <f>$C$1&amp;".E30A.REM.VAR.CONSM.OS._INT.4.1_5_PERCT"</f>
        <v>xxxx.E30A.REM.VAR.CONSM.OS._INT.4.1_5_PERCT</v>
      </c>
      <c r="B953" s="88">
        <f>PAGE6!$G$88</f>
        <v>0</v>
      </c>
      <c r="C953" s="89">
        <f>PAGE6!$I$88</f>
        <v>0</v>
      </c>
    </row>
    <row r="954" spans="1:3" x14ac:dyDescent="0.35">
      <c r="A954" s="193" t="str">
        <f>$C$1&amp;".E30A.REM.ADJ.CONSM.OS._INT.4.1_5_PERCT"</f>
        <v>xxxx.E30A.REM.ADJ.CONSM.OS._INT.4.1_5_PERCT</v>
      </c>
      <c r="B954" s="88">
        <f>PAGE6!$K$88</f>
        <v>0</v>
      </c>
      <c r="C954" s="89">
        <f>PAGE6!$M$88</f>
        <v>0</v>
      </c>
    </row>
    <row r="955" spans="1:3" x14ac:dyDescent="0.35">
      <c r="A955" s="193" t="str">
        <f>$C$1&amp;".E30A.REM.CONSM.OS._INT.4.1_5_PERCT.TTL"</f>
        <v>xxxx.E30A.REM.CONSM.OS._INT.4.1_5_PERCT.TTL</v>
      </c>
      <c r="B955" s="88">
        <f>PAGE6!$P$88</f>
        <v>0</v>
      </c>
      <c r="C955" s="89">
        <f>PAGE6!$R$88</f>
        <v>0</v>
      </c>
    </row>
    <row r="956" spans="1:3" x14ac:dyDescent="0.35">
      <c r="A956" s="193" t="str">
        <f>$C$1&amp;".E30A.REM.FR.CONSM.OS._INT.5.1_6_PERCT"</f>
        <v>xxxx.E30A.REM.FR.CONSM.OS._INT.5.1_6_PERCT</v>
      </c>
      <c r="B956" s="88">
        <f>PAGE6!$C$89</f>
        <v>0</v>
      </c>
      <c r="C956" s="89">
        <f>PAGE6!$E$89</f>
        <v>0</v>
      </c>
    </row>
    <row r="957" spans="1:3" x14ac:dyDescent="0.35">
      <c r="A957" s="193" t="str">
        <f>$C$1&amp;".E30A.REM.VAR.CONSM.OS._INT.5.1_6_PERCT"</f>
        <v>xxxx.E30A.REM.VAR.CONSM.OS._INT.5.1_6_PERCT</v>
      </c>
      <c r="B957" s="88">
        <f>PAGE6!$G$89</f>
        <v>0</v>
      </c>
      <c r="C957" s="89">
        <f>PAGE6!$I$89</f>
        <v>0</v>
      </c>
    </row>
    <row r="958" spans="1:3" x14ac:dyDescent="0.35">
      <c r="A958" s="193" t="str">
        <f>$C$1&amp;".E30A.REM.ADJ.CONSM.OS._INT.5.1_6_PERCT"</f>
        <v>xxxx.E30A.REM.ADJ.CONSM.OS._INT.5.1_6_PERCT</v>
      </c>
      <c r="B958" s="88">
        <f>PAGE6!$K$89</f>
        <v>0</v>
      </c>
      <c r="C958" s="89">
        <f>PAGE6!$M$89</f>
        <v>0</v>
      </c>
    </row>
    <row r="959" spans="1:3" x14ac:dyDescent="0.35">
      <c r="A959" s="193" t="str">
        <f>$C$1&amp;".E30A.REM.CONSM.OS._INT.5.1_6_PERCT.TTL"</f>
        <v>xxxx.E30A.REM.CONSM.OS._INT.5.1_6_PERCT.TTL</v>
      </c>
      <c r="B959" s="88">
        <f>PAGE6!$P$89</f>
        <v>0</v>
      </c>
      <c r="C959" s="89">
        <f>PAGE6!$R$89</f>
        <v>0</v>
      </c>
    </row>
    <row r="960" spans="1:3" x14ac:dyDescent="0.35">
      <c r="A960" s="193" t="str">
        <f>$C$1&amp;".E30A.REM.FR.CONSM.OS._INT.6.1_7_PERCT"</f>
        <v>xxxx.E30A.REM.FR.CONSM.OS._INT.6.1_7_PERCT</v>
      </c>
      <c r="B960" s="88">
        <f>PAGE6!$C$90</f>
        <v>0</v>
      </c>
      <c r="C960" s="89">
        <f>PAGE6!$E$90</f>
        <v>0</v>
      </c>
    </row>
    <row r="961" spans="1:3" x14ac:dyDescent="0.35">
      <c r="A961" s="193" t="str">
        <f>$C$1&amp;".E30A.REM.VAR.CONSM.OS._INT.6.1_7_PERCT"</f>
        <v>xxxx.E30A.REM.VAR.CONSM.OS._INT.6.1_7_PERCT</v>
      </c>
      <c r="B961" s="88">
        <f>PAGE6!$G$90</f>
        <v>0</v>
      </c>
      <c r="C961" s="89">
        <f>PAGE6!$I$90</f>
        <v>0</v>
      </c>
    </row>
    <row r="962" spans="1:3" x14ac:dyDescent="0.35">
      <c r="A962" s="193" t="str">
        <f>$C$1&amp;".E30A.REM.ADJ.CONSM.OS._INT.6.1_7_PERCT"</f>
        <v>xxxx.E30A.REM.ADJ.CONSM.OS._INT.6.1_7_PERCT</v>
      </c>
      <c r="B962" s="88">
        <f>PAGE6!$K$90</f>
        <v>0</v>
      </c>
      <c r="C962" s="89">
        <f>PAGE6!$M$90</f>
        <v>0</v>
      </c>
    </row>
    <row r="963" spans="1:3" x14ac:dyDescent="0.35">
      <c r="A963" s="193" t="str">
        <f>$C$1&amp;".E30A.REM.CONSM.OS._INT.6.1_7_PERCT.TTL"</f>
        <v>xxxx.E30A.REM.CONSM.OS._INT.6.1_7_PERCT.TTL</v>
      </c>
      <c r="B963" s="88">
        <f>PAGE6!$P$90</f>
        <v>0</v>
      </c>
      <c r="C963" s="89">
        <f>PAGE6!$R$90</f>
        <v>0</v>
      </c>
    </row>
    <row r="964" spans="1:3" x14ac:dyDescent="0.35">
      <c r="A964" s="193" t="str">
        <f>$C$1&amp;".E30A.REM.FR.CONSM.OS._INT.7.1_8_PERCT"</f>
        <v>xxxx.E30A.REM.FR.CONSM.OS._INT.7.1_8_PERCT</v>
      </c>
      <c r="B964" s="88">
        <f>PAGE6!$C$91</f>
        <v>0</v>
      </c>
      <c r="C964" s="89">
        <f>PAGE6!$E$91</f>
        <v>0</v>
      </c>
    </row>
    <row r="965" spans="1:3" x14ac:dyDescent="0.35">
      <c r="A965" s="193" t="str">
        <f>$C$1&amp;".E30A.REM.VAR.CONSM.OS._INT.7.1_8_PERCT"</f>
        <v>xxxx.E30A.REM.VAR.CONSM.OS._INT.7.1_8_PERCT</v>
      </c>
      <c r="B965" s="88">
        <f>PAGE6!$G$91</f>
        <v>0</v>
      </c>
      <c r="C965" s="89">
        <f>PAGE6!$I$91</f>
        <v>0</v>
      </c>
    </row>
    <row r="966" spans="1:3" x14ac:dyDescent="0.35">
      <c r="A966" s="193" t="str">
        <f>$C$1&amp;".E30A.REM.ADJ.CONSM.OS._INT.7.1_8_PERCT"</f>
        <v>xxxx.E30A.REM.ADJ.CONSM.OS._INT.7.1_8_PERCT</v>
      </c>
      <c r="B966" s="88">
        <f>PAGE6!$K$91</f>
        <v>0</v>
      </c>
      <c r="C966" s="89">
        <f>PAGE6!$M$91</f>
        <v>0</v>
      </c>
    </row>
    <row r="967" spans="1:3" x14ac:dyDescent="0.35">
      <c r="A967" s="193" t="str">
        <f>$C$1&amp;".E30A.REM.CONSM.OS._INT.7.1_8_PERCT.TTL"</f>
        <v>xxxx.E30A.REM.CONSM.OS._INT.7.1_8_PERCT.TTL</v>
      </c>
      <c r="B967" s="88">
        <f>PAGE6!$P$91</f>
        <v>0</v>
      </c>
      <c r="C967" s="89">
        <f>PAGE6!$R$91</f>
        <v>0</v>
      </c>
    </row>
    <row r="968" spans="1:3" x14ac:dyDescent="0.35">
      <c r="A968" s="193" t="str">
        <f>$C$1&amp;".E30A.REM.FR.CONSM.OS._INT.8.1_9_PERCT"</f>
        <v>xxxx.E30A.REM.FR.CONSM.OS._INT.8.1_9_PERCT</v>
      </c>
      <c r="B968" s="88">
        <f>PAGE6!$C$92</f>
        <v>0</v>
      </c>
      <c r="C968" s="89">
        <f>PAGE6!$E$92</f>
        <v>0</v>
      </c>
    </row>
    <row r="969" spans="1:3" x14ac:dyDescent="0.35">
      <c r="A969" s="193" t="str">
        <f>$C$1&amp;".E30A.REM.VAR.CONSM.OS._INT.8.1_9_PERCT"</f>
        <v>xxxx.E30A.REM.VAR.CONSM.OS._INT.8.1_9_PERCT</v>
      </c>
      <c r="B969" s="88">
        <f>PAGE6!$G$92</f>
        <v>0</v>
      </c>
      <c r="C969" s="89">
        <f>PAGE6!$I$92</f>
        <v>0</v>
      </c>
    </row>
    <row r="970" spans="1:3" x14ac:dyDescent="0.35">
      <c r="A970" s="193" t="str">
        <f>$C$1&amp;".E30A.REM.ADJ.CONSM.OS._INT.8.1_9_PERCT"</f>
        <v>xxxx.E30A.REM.ADJ.CONSM.OS._INT.8.1_9_PERCT</v>
      </c>
      <c r="B970" s="88">
        <f>PAGE6!$K$92</f>
        <v>0</v>
      </c>
      <c r="C970" s="89">
        <f>PAGE6!$M$92</f>
        <v>0</v>
      </c>
    </row>
    <row r="971" spans="1:3" x14ac:dyDescent="0.35">
      <c r="A971" s="193" t="str">
        <f>$C$1&amp;".E30A.REM.CONSM.OS._INT.8.1_9_PERCT.TTL"</f>
        <v>xxxx.E30A.REM.CONSM.OS._INT.8.1_9_PERCT.TTL</v>
      </c>
      <c r="B971" s="88">
        <f>PAGE6!$P$92</f>
        <v>0</v>
      </c>
      <c r="C971" s="89">
        <f>PAGE6!$R$92</f>
        <v>0</v>
      </c>
    </row>
    <row r="972" spans="1:3" x14ac:dyDescent="0.35">
      <c r="A972" s="193" t="str">
        <f>$C$1&amp;".E30A.REM.FR.CONSM.OS._INT.9.1_10_PERCT"</f>
        <v>xxxx.E30A.REM.FR.CONSM.OS._INT.9.1_10_PERCT</v>
      </c>
      <c r="B972" s="88">
        <f>PAGE6!$C$93</f>
        <v>0</v>
      </c>
      <c r="C972" s="89">
        <f>PAGE6!$E$93</f>
        <v>0</v>
      </c>
    </row>
    <row r="973" spans="1:3" x14ac:dyDescent="0.35">
      <c r="A973" s="193" t="str">
        <f>$C$1&amp;".E30A.REM.VAR.CONSM.OS._INT.9.1_10_PERCT"</f>
        <v>xxxx.E30A.REM.VAR.CONSM.OS._INT.9.1_10_PERCT</v>
      </c>
      <c r="B973" s="88">
        <f>PAGE6!$G$93</f>
        <v>0</v>
      </c>
      <c r="C973" s="89">
        <f>PAGE6!$I$93</f>
        <v>0</v>
      </c>
    </row>
    <row r="974" spans="1:3" x14ac:dyDescent="0.35">
      <c r="A974" s="193" t="str">
        <f>$C$1&amp;".E30A.REM.ADJ.CONSM.OS._INT.9.1_10_PERCT"</f>
        <v>xxxx.E30A.REM.ADJ.CONSM.OS._INT.9.1_10_PERCT</v>
      </c>
      <c r="B974" s="88">
        <f>PAGE6!$K$93</f>
        <v>0</v>
      </c>
      <c r="C974" s="89">
        <f>PAGE6!$M$93</f>
        <v>0</v>
      </c>
    </row>
    <row r="975" spans="1:3" x14ac:dyDescent="0.35">
      <c r="A975" s="193" t="str">
        <f>$C$1&amp;".E30A.REM.CONSM.OS._INT.9.1_10_PERCT.TTL"</f>
        <v>xxxx.E30A.REM.CONSM.OS._INT.9.1_10_PERCT.TTL</v>
      </c>
      <c r="B975" s="88">
        <f>PAGE6!$P$93</f>
        <v>0</v>
      </c>
      <c r="C975" s="89">
        <f>PAGE6!$R$93</f>
        <v>0</v>
      </c>
    </row>
    <row r="976" spans="1:3" x14ac:dyDescent="0.35">
      <c r="A976" s="193" t="str">
        <f>$C$1&amp;".E30A.REM.FR.CONSM.OS._INT.10.1_11_PERCT"</f>
        <v>xxxx.E30A.REM.FR.CONSM.OS._INT.10.1_11_PERCT</v>
      </c>
      <c r="B976" s="88">
        <f>PAGE6!$C$94</f>
        <v>0</v>
      </c>
      <c r="C976" s="89">
        <f>PAGE6!$E$94</f>
        <v>0</v>
      </c>
    </row>
    <row r="977" spans="1:3" x14ac:dyDescent="0.35">
      <c r="A977" s="193" t="str">
        <f>$C$1&amp;".E30A.REM.VAR.CONSM.OS._INT.10.1_11_PERCT"</f>
        <v>xxxx.E30A.REM.VAR.CONSM.OS._INT.10.1_11_PERCT</v>
      </c>
      <c r="B977" s="88">
        <f>PAGE6!$G$94</f>
        <v>0</v>
      </c>
      <c r="C977" s="89">
        <f>PAGE6!$I$94</f>
        <v>0</v>
      </c>
    </row>
    <row r="978" spans="1:3" x14ac:dyDescent="0.35">
      <c r="A978" s="193" t="str">
        <f>$C$1&amp;".E30A.REM.ADJ.CONSM.OS._INT.10.1_11_PERCT"</f>
        <v>xxxx.E30A.REM.ADJ.CONSM.OS._INT.10.1_11_PERCT</v>
      </c>
      <c r="B978" s="88">
        <f>PAGE6!$K$94</f>
        <v>0</v>
      </c>
      <c r="C978" s="89">
        <f>PAGE6!$M$94</f>
        <v>0</v>
      </c>
    </row>
    <row r="979" spans="1:3" x14ac:dyDescent="0.35">
      <c r="A979" s="193" t="str">
        <f>$C$1&amp;".E30A.REM.CONSM.OS._INT.10.1_11_PERCT.TTL"</f>
        <v>xxxx.E30A.REM.CONSM.OS._INT.10.1_11_PERCT.TTL</v>
      </c>
      <c r="B979" s="88">
        <f>PAGE6!$P$94</f>
        <v>0</v>
      </c>
      <c r="C979" s="89">
        <f>PAGE6!$R$94</f>
        <v>0</v>
      </c>
    </row>
    <row r="980" spans="1:3" x14ac:dyDescent="0.35">
      <c r="A980" s="193" t="str">
        <f>$C$1&amp;".E30A.REM.FR.CONSM.OS._INT.11.1_12_PERCT"</f>
        <v>xxxx.E30A.REM.FR.CONSM.OS._INT.11.1_12_PERCT</v>
      </c>
      <c r="B980" s="88">
        <f>PAGE6!$C$95</f>
        <v>0</v>
      </c>
      <c r="C980" s="89">
        <f>PAGE6!$E$95</f>
        <v>0</v>
      </c>
    </row>
    <row r="981" spans="1:3" x14ac:dyDescent="0.35">
      <c r="A981" s="193" t="str">
        <f>$C$1&amp;".E30A.REM.VAR.CONSM.OS._INT.11.1_12_PERCT"</f>
        <v>xxxx.E30A.REM.VAR.CONSM.OS._INT.11.1_12_PERCT</v>
      </c>
      <c r="B981" s="88">
        <f>PAGE6!$G$95</f>
        <v>0</v>
      </c>
      <c r="C981" s="89">
        <f>PAGE6!$I$95</f>
        <v>0</v>
      </c>
    </row>
    <row r="982" spans="1:3" x14ac:dyDescent="0.35">
      <c r="A982" s="193" t="str">
        <f>$C$1&amp;".E30A.REM.ADJ.CONSM.OS._INT.11.1_12_PERCT"</f>
        <v>xxxx.E30A.REM.ADJ.CONSM.OS._INT.11.1_12_PERCT</v>
      </c>
      <c r="B982" s="88">
        <f>PAGE6!$K$95</f>
        <v>0</v>
      </c>
      <c r="C982" s="89">
        <f>PAGE6!$M$95</f>
        <v>0</v>
      </c>
    </row>
    <row r="983" spans="1:3" x14ac:dyDescent="0.35">
      <c r="A983" s="193" t="str">
        <f>$C$1&amp;".E30A.REM.CONSM.OS._INT.11.1_12_PERCT.TTL"</f>
        <v>xxxx.E30A.REM.CONSM.OS._INT.11.1_12_PERCT.TTL</v>
      </c>
      <c r="B983" s="88">
        <f>PAGE6!$P$95</f>
        <v>0</v>
      </c>
      <c r="C983" s="89">
        <f>PAGE6!$R$95</f>
        <v>0</v>
      </c>
    </row>
    <row r="984" spans="1:3" x14ac:dyDescent="0.35">
      <c r="A984" s="193" t="str">
        <f>$C$1&amp;".E30A.REM.FR.CONSM.OS._INT.12.1_13_PERCT"</f>
        <v>xxxx.E30A.REM.FR.CONSM.OS._INT.12.1_13_PERCT</v>
      </c>
      <c r="B984" s="88">
        <f>PAGE6!$C$96</f>
        <v>0</v>
      </c>
      <c r="C984" s="89">
        <f>PAGE6!$E$96</f>
        <v>0</v>
      </c>
    </row>
    <row r="985" spans="1:3" x14ac:dyDescent="0.35">
      <c r="A985" s="193" t="str">
        <f>$C$1&amp;".E30A.REM.VAR.CONSM.OS._INT.12.1_13_PERCT"</f>
        <v>xxxx.E30A.REM.VAR.CONSM.OS._INT.12.1_13_PERCT</v>
      </c>
      <c r="B985" s="88">
        <f>PAGE6!$G$96</f>
        <v>0</v>
      </c>
      <c r="C985" s="89">
        <f>PAGE6!$I$96</f>
        <v>0</v>
      </c>
    </row>
    <row r="986" spans="1:3" x14ac:dyDescent="0.35">
      <c r="A986" s="193" t="str">
        <f>$C$1&amp;".E30A.REM.ADJ.CONSM.OS._INT.12.1_13_PERCT"</f>
        <v>xxxx.E30A.REM.ADJ.CONSM.OS._INT.12.1_13_PERCT</v>
      </c>
      <c r="B986" s="88">
        <f>PAGE6!$K$96</f>
        <v>0</v>
      </c>
      <c r="C986" s="89">
        <f>PAGE6!$M$96</f>
        <v>0</v>
      </c>
    </row>
    <row r="987" spans="1:3" x14ac:dyDescent="0.35">
      <c r="A987" s="193" t="str">
        <f>$C$1&amp;".E30A.REM.CONSM.OS._INT.12.1_13_PERCT.TTL"</f>
        <v>xxxx.E30A.REM.CONSM.OS._INT.12.1_13_PERCT.TTL</v>
      </c>
      <c r="B987" s="88">
        <f>PAGE6!$P$96</f>
        <v>0</v>
      </c>
      <c r="C987" s="89">
        <f>PAGE6!$R$96</f>
        <v>0</v>
      </c>
    </row>
    <row r="988" spans="1:3" x14ac:dyDescent="0.35">
      <c r="A988" s="193" t="str">
        <f>$C$1&amp;".E30A.REM.FR.CONSM.OS._INT.13.1_14_PERCT"</f>
        <v>xxxx.E30A.REM.FR.CONSM.OS._INT.13.1_14_PERCT</v>
      </c>
      <c r="B988" s="88">
        <f>PAGE6!$C$97</f>
        <v>0</v>
      </c>
      <c r="C988" s="89">
        <f>PAGE6!$E$97</f>
        <v>0</v>
      </c>
    </row>
    <row r="989" spans="1:3" x14ac:dyDescent="0.35">
      <c r="A989" s="193" t="str">
        <f>$C$1&amp;".E30A.REM.VAR.CONSM.OS._INT.13.1_14_PERCT"</f>
        <v>xxxx.E30A.REM.VAR.CONSM.OS._INT.13.1_14_PERCT</v>
      </c>
      <c r="B989" s="88">
        <f>PAGE6!$G$97</f>
        <v>0</v>
      </c>
      <c r="C989" s="89">
        <f>PAGE6!$I$97</f>
        <v>0</v>
      </c>
    </row>
    <row r="990" spans="1:3" x14ac:dyDescent="0.35">
      <c r="A990" s="193" t="str">
        <f>$C$1&amp;".E30A.REM.ADJ.CONSM.OS._INT.13.1_14_PERCT"</f>
        <v>xxxx.E30A.REM.ADJ.CONSM.OS._INT.13.1_14_PERCT</v>
      </c>
      <c r="B990" s="88">
        <f>PAGE6!$K$97</f>
        <v>0</v>
      </c>
      <c r="C990" s="89">
        <f>PAGE6!$M$97</f>
        <v>0</v>
      </c>
    </row>
    <row r="991" spans="1:3" x14ac:dyDescent="0.35">
      <c r="A991" s="193" t="str">
        <f>$C$1&amp;".E30A.REM.CONSM.OS._INT.13.1_14_PERCT.TTL"</f>
        <v>xxxx.E30A.REM.CONSM.OS._INT.13.1_14_PERCT.TTL</v>
      </c>
      <c r="B991" s="88">
        <f>PAGE6!$P$97</f>
        <v>0</v>
      </c>
      <c r="C991" s="89">
        <f>PAGE6!$R$97</f>
        <v>0</v>
      </c>
    </row>
    <row r="992" spans="1:3" x14ac:dyDescent="0.35">
      <c r="A992" s="193" t="str">
        <f>$C$1&amp;".E30A.REM.FR.CONSM.OS._INT.14.1_15_PERCT"</f>
        <v>xxxx.E30A.REM.FR.CONSM.OS._INT.14.1_15_PERCT</v>
      </c>
      <c r="B992" s="88">
        <f>PAGE6!$C$98</f>
        <v>0</v>
      </c>
      <c r="C992" s="89">
        <f>PAGE6!$E$98</f>
        <v>0</v>
      </c>
    </row>
    <row r="993" spans="1:3" x14ac:dyDescent="0.35">
      <c r="A993" s="193" t="str">
        <f>$C$1&amp;".E30A.REM.VAR.CONSM.OS._INT.14.1_15_PERCT"</f>
        <v>xxxx.E30A.REM.VAR.CONSM.OS._INT.14.1_15_PERCT</v>
      </c>
      <c r="B993" s="88">
        <f>PAGE6!$G$98</f>
        <v>0</v>
      </c>
      <c r="C993" s="89">
        <f>PAGE6!$I$98</f>
        <v>0</v>
      </c>
    </row>
    <row r="994" spans="1:3" x14ac:dyDescent="0.35">
      <c r="A994" s="193" t="str">
        <f>$C$1&amp;".E30A.REM.ADJ.CONSM.OS._INT.14.1_15_PERCT"</f>
        <v>xxxx.E30A.REM.ADJ.CONSM.OS._INT.14.1_15_PERCT</v>
      </c>
      <c r="B994" s="88">
        <f>PAGE6!$K$98</f>
        <v>0</v>
      </c>
      <c r="C994" s="89">
        <f>PAGE6!$M$98</f>
        <v>0</v>
      </c>
    </row>
    <row r="995" spans="1:3" x14ac:dyDescent="0.35">
      <c r="A995" s="193" t="str">
        <f>$C$1&amp;".E30A.REM.CONSM.OS._INT.14.1_15_PERCT.TTL"</f>
        <v>xxxx.E30A.REM.CONSM.OS._INT.14.1_15_PERCT.TTL</v>
      </c>
      <c r="B995" s="88">
        <f>PAGE6!$P$98</f>
        <v>0</v>
      </c>
      <c r="C995" s="89">
        <f>PAGE6!$R$98</f>
        <v>0</v>
      </c>
    </row>
    <row r="996" spans="1:3" x14ac:dyDescent="0.35">
      <c r="A996" s="193" t="str">
        <f>$C$1&amp;".E30A.REM.FR.CONSM.OS._INT.OVR_15.1_PERCT"</f>
        <v>xxxx.E30A.REM.FR.CONSM.OS._INT.OVR_15.1_PERCT</v>
      </c>
      <c r="B996" s="88">
        <f>PAGE6!$C$99</f>
        <v>0</v>
      </c>
      <c r="C996" s="89">
        <f>PAGE6!$E$99</f>
        <v>0</v>
      </c>
    </row>
    <row r="997" spans="1:3" x14ac:dyDescent="0.35">
      <c r="A997" s="193" t="str">
        <f>$C$1&amp;".E30A.REM.VAR.CONSM.OS._INT.OVR_15.1_PERCT"</f>
        <v>xxxx.E30A.REM.VAR.CONSM.OS._INT.OVR_15.1_PERCT</v>
      </c>
      <c r="B997" s="88">
        <f>PAGE6!$G$99</f>
        <v>0</v>
      </c>
      <c r="C997" s="89">
        <f>PAGE6!$I$99</f>
        <v>0</v>
      </c>
    </row>
    <row r="998" spans="1:3" x14ac:dyDescent="0.35">
      <c r="A998" s="193" t="str">
        <f>$C$1&amp;".E30A.REM.ADJ.CONSM.OS._INT.OVR_15.1_PERCT"</f>
        <v>xxxx.E30A.REM.ADJ.CONSM.OS._INT.OVR_15.1_PERCT</v>
      </c>
      <c r="B998" s="88">
        <f>PAGE6!$K$99</f>
        <v>0</v>
      </c>
      <c r="C998" s="89">
        <f>PAGE6!$M$99</f>
        <v>0</v>
      </c>
    </row>
    <row r="999" spans="1:3" x14ac:dyDescent="0.35">
      <c r="A999" s="193" t="str">
        <f>$C$1&amp;".E30A.REM.CONSM.OS._INT.OVR_15.1_PERCT.TTL"</f>
        <v>xxxx.E30A.REM.CONSM.OS._INT.OVR_15.1_PERCT.TTL</v>
      </c>
      <c r="B999" s="88">
        <f>PAGE6!$P$99</f>
        <v>0</v>
      </c>
      <c r="C999" s="89">
        <f>PAGE6!$R$99</f>
        <v>0</v>
      </c>
    </row>
    <row r="1000" spans="1:3" x14ac:dyDescent="0.35">
      <c r="A1000" s="196" t="str">
        <f>$C$1&amp;".E30A.REM.FR.OS.TTL.."</f>
        <v>xxxx.E30A.REM.FR.OS.TTL..</v>
      </c>
      <c r="B1000" s="88">
        <f>PAGE6!$C$101</f>
        <v>0</v>
      </c>
      <c r="C1000" s="89">
        <f>PAGE6!$E$101</f>
        <v>0</v>
      </c>
    </row>
    <row r="1001" spans="1:3" x14ac:dyDescent="0.35">
      <c r="A1001" s="196" t="str">
        <f>$C$1&amp;".E30A.REM.VAR.OS.TTL.."</f>
        <v>xxxx.E30A.REM.VAR.OS.TTL..</v>
      </c>
      <c r="B1001" s="88">
        <f>PAGE6!$G$101</f>
        <v>0</v>
      </c>
      <c r="C1001" s="89">
        <f>PAGE6!$I$101</f>
        <v>0</v>
      </c>
    </row>
    <row r="1002" spans="1:3" x14ac:dyDescent="0.35">
      <c r="A1002" s="196" t="str">
        <f>$C$1&amp;".E30A.REM.ADJ.OS.TTL.."</f>
        <v>xxxx.E30A.REM.ADJ.OS.TTL..</v>
      </c>
      <c r="B1002" s="88">
        <f>PAGE6!$K$101</f>
        <v>0</v>
      </c>
      <c r="C1002" s="89">
        <f>PAGE6!$M$101</f>
        <v>0</v>
      </c>
    </row>
    <row r="1003" spans="1:3" x14ac:dyDescent="0.35">
      <c r="A1003" s="196" t="str">
        <f>$C$1&amp;".E30A.REM.OS.SEC_TYPE.AGG_TTL.."</f>
        <v>xxxx.E30A.REM.OS.SEC_TYPE.AGG_TTL..</v>
      </c>
      <c r="B1003" s="88">
        <f>PAGE6!$P$101</f>
        <v>0</v>
      </c>
      <c r="C1003" s="89">
        <f>PAGE6!$R$101</f>
        <v>0</v>
      </c>
    </row>
    <row r="1004" spans="1:3" x14ac:dyDescent="0.35">
      <c r="A1004" s="195" t="s">
        <v>800</v>
      </c>
      <c r="B1004" s="93" t="s">
        <v>699</v>
      </c>
      <c r="C1004" s="93" t="s">
        <v>700</v>
      </c>
    </row>
    <row r="1005" spans="1:3" x14ac:dyDescent="0.35">
      <c r="A1005" s="193" t="str">
        <f>$C$1&amp;".E30A.REM.FR..PER.5YRS.NEW"</f>
        <v>xxxx.E30A.REM.FR..PER.5YRS.NEW</v>
      </c>
      <c r="B1005" s="90">
        <f>PAGE7!$C$14</f>
        <v>0</v>
      </c>
      <c r="C1005" s="91">
        <f>PAGE7!$E$14</f>
        <v>0</v>
      </c>
    </row>
    <row r="1006" spans="1:3" x14ac:dyDescent="0.35">
      <c r="A1006" s="193" t="str">
        <f>$C$1&amp;".E30A.REM.VAR..PER.5YRS.NEW"</f>
        <v>xxxx.E30A.REM.VAR..PER.5YRS.NEW</v>
      </c>
      <c r="B1006" s="90">
        <f>PAGE7!$G$14</f>
        <v>0</v>
      </c>
      <c r="C1006" s="91">
        <f>PAGE7!$I$14</f>
        <v>0</v>
      </c>
    </row>
    <row r="1007" spans="1:3" x14ac:dyDescent="0.35">
      <c r="A1007" s="193" t="str">
        <f>$C$1&amp;".E30A.REM.ADJ..PER.5YRS.NEW"</f>
        <v>xxxx.E30A.REM.ADJ..PER.5YRS.NEW</v>
      </c>
      <c r="B1007" s="90">
        <f>PAGE7!$K$14</f>
        <v>0</v>
      </c>
      <c r="C1007" s="91">
        <f>PAGE7!$M$14</f>
        <v>0</v>
      </c>
    </row>
    <row r="1008" spans="1:3" x14ac:dyDescent="0.35">
      <c r="A1008" s="193" t="str">
        <f>$C$1&amp;".E30A.REM..PER.5YRS.NEW.TTL"</f>
        <v>xxxx.E30A.REM..PER.5YRS.NEW.TTL</v>
      </c>
      <c r="B1008" s="90">
        <f>PAGE7!$P$14</f>
        <v>0</v>
      </c>
      <c r="C1008" s="91">
        <f>PAGE7!$R$14</f>
        <v>0</v>
      </c>
    </row>
    <row r="1009" spans="1:3" x14ac:dyDescent="0.35">
      <c r="A1009" s="193" t="str">
        <f>$C$1&amp;".E30A.REM.FR.PER.5TO10YRS.NEW."</f>
        <v>xxxx.E30A.REM.FR.PER.5TO10YRS.NEW.</v>
      </c>
      <c r="B1009" s="90">
        <f>PAGE7!$C$16</f>
        <v>0</v>
      </c>
      <c r="C1009" s="91">
        <f>PAGE7!$E$16</f>
        <v>0</v>
      </c>
    </row>
    <row r="1010" spans="1:3" x14ac:dyDescent="0.35">
      <c r="A1010" s="193" t="str">
        <f>$C$1&amp;".E30A.REM.VAR.PER.5TO10YRS.NEW."</f>
        <v>xxxx.E30A.REM.VAR.PER.5TO10YRS.NEW.</v>
      </c>
      <c r="B1010" s="90">
        <f>PAGE7!$G$16</f>
        <v>0</v>
      </c>
      <c r="C1010" s="91">
        <f>PAGE7!$I$16</f>
        <v>0</v>
      </c>
    </row>
    <row r="1011" spans="1:3" x14ac:dyDescent="0.35">
      <c r="A1011" s="193" t="str">
        <f>$C$1&amp;".E30A.REM.ADJ.PER.5TO10YRS.NEW."</f>
        <v>xxxx.E30A.REM.ADJ.PER.5TO10YRS.NEW.</v>
      </c>
      <c r="B1011" s="90">
        <f>PAGE7!$K$16</f>
        <v>0</v>
      </c>
      <c r="C1011" s="91">
        <f>PAGE7!$M$16</f>
        <v>0</v>
      </c>
    </row>
    <row r="1012" spans="1:3" x14ac:dyDescent="0.35">
      <c r="A1012" s="193" t="str">
        <f>$C$1&amp;".E30A.REM.PER.5TO10YRS.NEW.TTL."</f>
        <v>xxxx.E30A.REM.PER.5TO10YRS.NEW.TTL.</v>
      </c>
      <c r="B1012" s="90">
        <f>PAGE7!$P$16</f>
        <v>0</v>
      </c>
      <c r="C1012" s="91">
        <f>PAGE7!$R$16</f>
        <v>0</v>
      </c>
    </row>
    <row r="1013" spans="1:3" x14ac:dyDescent="0.35">
      <c r="A1013" s="193" t="str">
        <f>$C$1&amp;".E30A.REM.FR.PER.10TO15YRS.NEW."</f>
        <v>xxxx.E30A.REM.FR.PER.10TO15YRS.NEW.</v>
      </c>
      <c r="B1013" s="90">
        <f>PAGE7!$C$18</f>
        <v>0</v>
      </c>
      <c r="C1013" s="91">
        <f>PAGE7!$E$18</f>
        <v>0</v>
      </c>
    </row>
    <row r="1014" spans="1:3" x14ac:dyDescent="0.35">
      <c r="A1014" s="193" t="str">
        <f>$C$1&amp;".E30A.REM.VAR.PER.10TO15YRS.NEW."</f>
        <v>xxxx.E30A.REM.VAR.PER.10TO15YRS.NEW.</v>
      </c>
      <c r="B1014" s="90">
        <f>PAGE7!$G$18</f>
        <v>0</v>
      </c>
      <c r="C1014" s="91">
        <f>PAGE7!$I$18</f>
        <v>0</v>
      </c>
    </row>
    <row r="1015" spans="1:3" x14ac:dyDescent="0.35">
      <c r="A1015" s="193" t="str">
        <f>$C$1&amp;".E30A.REM.ADJ.PER.10TO15YRS.NEW."</f>
        <v>xxxx.E30A.REM.ADJ.PER.10TO15YRS.NEW.</v>
      </c>
      <c r="B1015" s="90">
        <f>PAGE7!$K$18</f>
        <v>0</v>
      </c>
      <c r="C1015" s="91">
        <f>PAGE7!$M$18</f>
        <v>0</v>
      </c>
    </row>
    <row r="1016" spans="1:3" x14ac:dyDescent="0.35">
      <c r="A1016" s="193" t="str">
        <f>$C$1&amp;".E30A.REM.PER.10TO15YRS.NEW.TTL."</f>
        <v>xxxx.E30A.REM.PER.10TO15YRS.NEW.TTL.</v>
      </c>
      <c r="B1016" s="90">
        <f>PAGE7!$P$18</f>
        <v>0</v>
      </c>
      <c r="C1016" s="91">
        <f>PAGE7!$R$18</f>
        <v>0</v>
      </c>
    </row>
    <row r="1017" spans="1:3" x14ac:dyDescent="0.35">
      <c r="A1017" s="193" t="str">
        <f>$C$1&amp;".E30A.REM.FR.PER.15TO20YRS.NEW."</f>
        <v>xxxx.E30A.REM.FR.PER.15TO20YRS.NEW.</v>
      </c>
      <c r="B1017" s="90">
        <f>PAGE7!$C$20</f>
        <v>0</v>
      </c>
      <c r="C1017" s="91">
        <f>PAGE7!$E$20</f>
        <v>0</v>
      </c>
    </row>
    <row r="1018" spans="1:3" x14ac:dyDescent="0.35">
      <c r="A1018" s="193" t="str">
        <f>$C$1&amp;".E30A.REM.VAR.PER.15TO20YRS.NEW."</f>
        <v>xxxx.E30A.REM.VAR.PER.15TO20YRS.NEW.</v>
      </c>
      <c r="B1018" s="90">
        <f>PAGE7!$G$20</f>
        <v>0</v>
      </c>
      <c r="C1018" s="91">
        <f>PAGE7!$I$20</f>
        <v>0</v>
      </c>
    </row>
    <row r="1019" spans="1:3" x14ac:dyDescent="0.35">
      <c r="A1019" s="193" t="str">
        <f>$C$1&amp;".E30A.REM.ADJ.PER.15TO20YRS.NEW."</f>
        <v>xxxx.E30A.REM.ADJ.PER.15TO20YRS.NEW.</v>
      </c>
      <c r="B1019" s="90">
        <f>PAGE7!$K$20</f>
        <v>0</v>
      </c>
      <c r="C1019" s="91">
        <f>PAGE7!$M$20</f>
        <v>0</v>
      </c>
    </row>
    <row r="1020" spans="1:3" x14ac:dyDescent="0.35">
      <c r="A1020" s="193" t="str">
        <f>$C$1&amp;".E30A.REM.PER.15TO20YRS.NEW.TTL."</f>
        <v>xxxx.E30A.REM.PER.15TO20YRS.NEW.TTL.</v>
      </c>
      <c r="B1020" s="90">
        <f>PAGE7!$P$20</f>
        <v>0</v>
      </c>
      <c r="C1020" s="91">
        <f>PAGE7!$R$20</f>
        <v>0</v>
      </c>
    </row>
    <row r="1021" spans="1:3" x14ac:dyDescent="0.35">
      <c r="A1021" s="193" t="str">
        <f>$C$1&amp;".E30A.REM.FR.PER.20TO25YRS.NEW."</f>
        <v>xxxx.E30A.REM.FR.PER.20TO25YRS.NEW.</v>
      </c>
      <c r="B1021" s="90">
        <f>PAGE7!$C$22</f>
        <v>0</v>
      </c>
      <c r="C1021" s="91">
        <f>PAGE7!$E$22</f>
        <v>0</v>
      </c>
    </row>
    <row r="1022" spans="1:3" x14ac:dyDescent="0.35">
      <c r="A1022" s="193" t="str">
        <f>$C$1&amp;".E30A.REM.VAR.PER.20TO25YRS.NEW."</f>
        <v>xxxx.E30A.REM.VAR.PER.20TO25YRS.NEW.</v>
      </c>
      <c r="B1022" s="90">
        <f>PAGE7!$G$22</f>
        <v>0</v>
      </c>
      <c r="C1022" s="91">
        <f>PAGE7!$I$22</f>
        <v>0</v>
      </c>
    </row>
    <row r="1023" spans="1:3" x14ac:dyDescent="0.35">
      <c r="A1023" s="193" t="str">
        <f>$C$1&amp;".E30A.REM.ADJ.PER.20TO25YRS.NEW."</f>
        <v>xxxx.E30A.REM.ADJ.PER.20TO25YRS.NEW.</v>
      </c>
      <c r="B1023" s="90">
        <f>PAGE7!$K$22</f>
        <v>0</v>
      </c>
      <c r="C1023" s="91">
        <f>PAGE7!$M$22</f>
        <v>0</v>
      </c>
    </row>
    <row r="1024" spans="1:3" x14ac:dyDescent="0.35">
      <c r="A1024" s="193" t="str">
        <f>$C$1&amp;".E30A.REM.PER.20TO25YRS.NEW.TTL."</f>
        <v>xxxx.E30A.REM.PER.20TO25YRS.NEW.TTL.</v>
      </c>
      <c r="B1024" s="90">
        <f>PAGE7!$P$22</f>
        <v>0</v>
      </c>
      <c r="C1024" s="91">
        <f>PAGE7!$R$22</f>
        <v>0</v>
      </c>
    </row>
    <row r="1025" spans="1:10" x14ac:dyDescent="0.35">
      <c r="A1025" s="193" t="str">
        <f>$C$1&amp;".E30A.REM.FR.PER.25TO30YRS.NEW."</f>
        <v>xxxx.E30A.REM.FR.PER.25TO30YRS.NEW.</v>
      </c>
      <c r="B1025" s="90">
        <f>PAGE7!$C$24</f>
        <v>0</v>
      </c>
      <c r="C1025" s="91">
        <f>PAGE7!$E$24</f>
        <v>0</v>
      </c>
    </row>
    <row r="1026" spans="1:10" x14ac:dyDescent="0.35">
      <c r="A1026" s="193" t="str">
        <f>$C$1&amp;".E30A.REM.VAR.PER.25TO30YRS.NEW."</f>
        <v>xxxx.E30A.REM.VAR.PER.25TO30YRS.NEW.</v>
      </c>
      <c r="B1026" s="90">
        <f>PAGE7!$G$24</f>
        <v>0</v>
      </c>
      <c r="C1026" s="91">
        <f>PAGE7!$I$24</f>
        <v>0</v>
      </c>
    </row>
    <row r="1027" spans="1:10" x14ac:dyDescent="0.35">
      <c r="A1027" s="193" t="str">
        <f>$C$1&amp;".E30A.REM.ADJ.PER.25TO30YRS.NEW."</f>
        <v>xxxx.E30A.REM.ADJ.PER.25TO30YRS.NEW.</v>
      </c>
      <c r="B1027" s="90">
        <f>PAGE7!$K$24</f>
        <v>0</v>
      </c>
      <c r="C1027" s="91">
        <f>PAGE7!$M$24</f>
        <v>0</v>
      </c>
    </row>
    <row r="1028" spans="1:10" x14ac:dyDescent="0.35">
      <c r="A1028" s="193" t="str">
        <f>$C$1&amp;".E30A.REM.PER.25TO30YRS.NEW.TTL."</f>
        <v>xxxx.E30A.REM.PER.25TO30YRS.NEW.TTL.</v>
      </c>
      <c r="B1028" s="90">
        <f>PAGE7!$P$24</f>
        <v>0</v>
      </c>
      <c r="C1028" s="91">
        <f>PAGE7!$R$24</f>
        <v>0</v>
      </c>
    </row>
    <row r="1029" spans="1:10" x14ac:dyDescent="0.35">
      <c r="A1029" s="193" t="str">
        <f>$C$1&amp;".E30A.REM.FR.PER.OVR30YRS.NEW."</f>
        <v>xxxx.E30A.REM.FR.PER.OVR30YRS.NEW.</v>
      </c>
      <c r="B1029" s="90">
        <f>PAGE7!$C$26</f>
        <v>0</v>
      </c>
      <c r="C1029" s="91">
        <f>PAGE7!$E$26</f>
        <v>0</v>
      </c>
    </row>
    <row r="1030" spans="1:10" x14ac:dyDescent="0.35">
      <c r="A1030" s="193" t="str">
        <f>$C$1&amp;".E30A.REM.VAR.PER.OVR30YRS.NEW."</f>
        <v>xxxx.E30A.REM.VAR.PER.OVR30YRS.NEW.</v>
      </c>
      <c r="B1030" s="90">
        <f>PAGE7!$G$26</f>
        <v>0</v>
      </c>
      <c r="C1030" s="91">
        <f>PAGE7!$I$26</f>
        <v>0</v>
      </c>
    </row>
    <row r="1031" spans="1:10" x14ac:dyDescent="0.35">
      <c r="A1031" s="193" t="str">
        <f>$C$1&amp;".E30A.REM.ADJ.PER.OVR30YRS.NEW."</f>
        <v>xxxx.E30A.REM.ADJ.PER.OVR30YRS.NEW.</v>
      </c>
      <c r="B1031" s="90">
        <f>PAGE7!$K$26</f>
        <v>0</v>
      </c>
      <c r="C1031" s="91">
        <f>PAGE7!$M$26</f>
        <v>0</v>
      </c>
    </row>
    <row r="1032" spans="1:10" x14ac:dyDescent="0.35">
      <c r="A1032" s="193" t="str">
        <f>$C$1&amp;".E30A.REM.PER.OVR30YRS.NEW.TTL."</f>
        <v>xxxx.E30A.REM.PER.OVR30YRS.NEW.TTL.</v>
      </c>
      <c r="B1032" s="90">
        <f>PAGE7!$P$26</f>
        <v>0</v>
      </c>
      <c r="C1032" s="91">
        <f>PAGE7!$R$26</f>
        <v>0</v>
      </c>
    </row>
    <row r="1033" spans="1:10" x14ac:dyDescent="0.35">
      <c r="A1033" s="193" t="str">
        <f>$C$1&amp;".E30A.REM.FR.PER.MAX_PER.NEW."</f>
        <v>xxxx.E30A.REM.FR.PER.MAX_PER.NEW.</v>
      </c>
      <c r="B1033" s="90">
        <f>PAGE7!$C$28</f>
        <v>0</v>
      </c>
      <c r="C1033" s="91">
        <f>PAGE7!$E$28</f>
        <v>0</v>
      </c>
    </row>
    <row r="1034" spans="1:10" x14ac:dyDescent="0.35">
      <c r="A1034" s="193" t="str">
        <f>$C$1&amp;".E30A.REM.VAR.PER.MAX_PER.NEW."</f>
        <v>xxxx.E30A.REM.VAR.PER.MAX_PER.NEW.</v>
      </c>
      <c r="B1034" s="90">
        <f>PAGE7!$G$28</f>
        <v>0</v>
      </c>
      <c r="C1034" s="91">
        <f>PAGE7!$I$28</f>
        <v>0</v>
      </c>
    </row>
    <row r="1035" spans="1:10" x14ac:dyDescent="0.35">
      <c r="A1035" s="193" t="str">
        <f>$C$1&amp;".E30A.REM.ADJ.PER.MAX_PER.NEW."</f>
        <v>xxxx.E30A.REM.ADJ.PER.MAX_PER.NEW.</v>
      </c>
      <c r="B1035" s="90">
        <f>PAGE7!$K$28</f>
        <v>0</v>
      </c>
      <c r="C1035" s="91">
        <f>PAGE7!$M$28</f>
        <v>0</v>
      </c>
    </row>
    <row r="1036" spans="1:10" x14ac:dyDescent="0.35">
      <c r="A1036" s="193" t="str">
        <f>$C$1&amp;".E30A.REM.PER.MAX_PER.NEW.TTL."</f>
        <v>xxxx.E30A.REM.PER.MAX_PER.NEW.TTL.</v>
      </c>
      <c r="B1036" s="90">
        <f>PAGE7!$P$28</f>
        <v>0</v>
      </c>
      <c r="C1036" s="91">
        <f>PAGE7!$R$28</f>
        <v>0</v>
      </c>
      <c r="F1036"/>
      <c r="G1036"/>
      <c r="H1036"/>
      <c r="I1036"/>
      <c r="J1036"/>
    </row>
    <row r="1037" spans="1:10" x14ac:dyDescent="0.35">
      <c r="A1037" s="193" t="str">
        <f>$C$1&amp;".E30A.REM.FR.PER.UNSPEC.NEW."</f>
        <v>xxxx.E30A.REM.FR.PER.UNSPEC.NEW.</v>
      </c>
      <c r="B1037" s="90">
        <f>PAGE7!$C$30</f>
        <v>0</v>
      </c>
      <c r="C1037" s="91">
        <f>PAGE7!$E$30</f>
        <v>0</v>
      </c>
      <c r="F1037"/>
      <c r="G1037"/>
      <c r="H1037"/>
      <c r="I1037"/>
      <c r="J1037"/>
    </row>
    <row r="1038" spans="1:10" x14ac:dyDescent="0.35">
      <c r="A1038" s="193" t="str">
        <f>$C$1&amp;".E30A.REM.VAR.PER.UNSPEC.NEW."</f>
        <v>xxxx.E30A.REM.VAR.PER.UNSPEC.NEW.</v>
      </c>
      <c r="B1038" s="90">
        <f>PAGE7!$G$30</f>
        <v>0</v>
      </c>
      <c r="C1038" s="91">
        <f>PAGE7!$I$30</f>
        <v>0</v>
      </c>
      <c r="F1038"/>
      <c r="G1038"/>
      <c r="H1038"/>
      <c r="I1038"/>
      <c r="J1038"/>
    </row>
    <row r="1039" spans="1:10" x14ac:dyDescent="0.35">
      <c r="A1039" s="193" t="str">
        <f>$C$1&amp;".E30A.REM.ADJ.PER.UNSPEC.NEW."</f>
        <v>xxxx.E30A.REM.ADJ.PER.UNSPEC.NEW.</v>
      </c>
      <c r="B1039" s="90">
        <f>PAGE7!$K$30</f>
        <v>0</v>
      </c>
      <c r="C1039" s="91">
        <f>PAGE7!$M$30</f>
        <v>0</v>
      </c>
      <c r="F1039"/>
      <c r="G1039"/>
      <c r="H1039"/>
      <c r="I1039"/>
      <c r="J1039"/>
    </row>
    <row r="1040" spans="1:10" x14ac:dyDescent="0.35">
      <c r="A1040" s="193" t="str">
        <f>$C$1&amp;".E30A.REM.PER.UNSPEC.NEW.TTL."</f>
        <v>xxxx.E30A.REM.PER.UNSPEC.NEW.TTL.</v>
      </c>
      <c r="B1040" s="90">
        <f>PAGE7!$P$30</f>
        <v>0</v>
      </c>
      <c r="C1040" s="91">
        <f>PAGE7!$R$30</f>
        <v>0</v>
      </c>
      <c r="F1040"/>
      <c r="G1040"/>
      <c r="H1040"/>
      <c r="I1040"/>
      <c r="J1040"/>
    </row>
    <row r="1041" spans="1:10" x14ac:dyDescent="0.35">
      <c r="A1041" s="196" t="str">
        <f>$C$1&amp;".E30A.REM.FR.NEW.TTL.."</f>
        <v>xxxx.E30A.REM.FR.NEW.TTL..</v>
      </c>
      <c r="B1041" s="90">
        <f>PAGE7!C32</f>
        <v>0</v>
      </c>
      <c r="C1041" s="91">
        <f>PAGE7!E32</f>
        <v>0</v>
      </c>
      <c r="F1041"/>
      <c r="G1041"/>
      <c r="H1041"/>
      <c r="I1041"/>
      <c r="J1041"/>
    </row>
    <row r="1042" spans="1:10" x14ac:dyDescent="0.35">
      <c r="A1042" s="196" t="str">
        <f>$C$1&amp;".E30A.REM.VAR.NEW.TTL.."</f>
        <v>xxxx.E30A.REM.VAR.NEW.TTL..</v>
      </c>
      <c r="B1042" s="90">
        <f>PAGE7!G32</f>
        <v>0</v>
      </c>
      <c r="C1042" s="91">
        <f>PAGE7!I32</f>
        <v>0</v>
      </c>
      <c r="F1042"/>
      <c r="G1042"/>
      <c r="H1042"/>
      <c r="I1042"/>
      <c r="J1042"/>
    </row>
    <row r="1043" spans="1:10" x14ac:dyDescent="0.35">
      <c r="A1043" s="196" t="str">
        <f>$C$1&amp;".E30A.REM.ADJ.NEW.TTL.."</f>
        <v>xxxx.E30A.REM.ADJ.NEW.TTL..</v>
      </c>
      <c r="B1043" s="90">
        <f>PAGE7!K32</f>
        <v>0</v>
      </c>
      <c r="C1043" s="91">
        <f>PAGE7!M32</f>
        <v>0</v>
      </c>
      <c r="F1043"/>
      <c r="G1043"/>
      <c r="H1043"/>
      <c r="I1043"/>
      <c r="J1043"/>
    </row>
    <row r="1044" spans="1:10" x14ac:dyDescent="0.35">
      <c r="A1044" s="195" t="s">
        <v>801</v>
      </c>
      <c r="B1044" s="100" t="s">
        <v>700</v>
      </c>
      <c r="C1044" s="91"/>
    </row>
    <row r="1045" spans="1:10" x14ac:dyDescent="0.35">
      <c r="A1045" s="193" t="str">
        <f>$C$1&amp;".E30A.REM.NEW.AGG_TTL..."</f>
        <v>xxxx.E30A.REM.NEW.AGG_TTL...</v>
      </c>
      <c r="B1045" s="99">
        <f>PAGE7!$R$32</f>
        <v>0</v>
      </c>
      <c r="C1045" s="58"/>
    </row>
    <row r="1046" spans="1:10" x14ac:dyDescent="0.35">
      <c r="A1046" s="195" t="s">
        <v>802</v>
      </c>
      <c r="B1046" s="100" t="s">
        <v>795</v>
      </c>
      <c r="C1046" s="93"/>
    </row>
    <row r="1047" spans="1:10" x14ac:dyDescent="0.35">
      <c r="A1047" s="193" t="str">
        <f>$C$1&amp;".E30A.REM.FR.PBSEC.APPR.L."</f>
        <v>xxxx.E30A.REM.FR.PBSEC.APPR.L.</v>
      </c>
      <c r="B1047" s="90">
        <f>PAGE8!$C$19</f>
        <v>0</v>
      </c>
      <c r="C1047" s="92"/>
    </row>
    <row r="1048" spans="1:10" x14ac:dyDescent="0.35">
      <c r="A1048" s="193" t="str">
        <f>$C$1&amp;".E30A.REM.FR.PBSEC.APPR.H."</f>
        <v>xxxx.E30A.REM.FR.PBSEC.APPR.H.</v>
      </c>
      <c r="B1048" s="90">
        <f>PAGE8!$E$19</f>
        <v>0</v>
      </c>
      <c r="C1048" s="92"/>
    </row>
    <row r="1049" spans="1:10" x14ac:dyDescent="0.35">
      <c r="A1049" s="193" t="str">
        <f>$C$1&amp;".E30A.REM.FR.PBSEC.APPR.L.M"</f>
        <v>xxxx.E30A.REM.FR.PBSEC.APPR.L.M</v>
      </c>
      <c r="B1049" s="90">
        <f>PAGE8!$G$19</f>
        <v>0</v>
      </c>
      <c r="C1049" s="92"/>
    </row>
    <row r="1050" spans="1:10" x14ac:dyDescent="0.35">
      <c r="A1050" s="193" t="str">
        <f>$C$1&amp;".E30A.REM.FR.PBSEC.APPR.H.M"</f>
        <v>xxxx.E30A.REM.FR.PBSEC.APPR.H.M</v>
      </c>
      <c r="B1050" s="90">
        <f>PAGE8!$I$19</f>
        <v>0</v>
      </c>
      <c r="C1050" s="92"/>
    </row>
    <row r="1051" spans="1:10" x14ac:dyDescent="0.35">
      <c r="A1051" s="193" t="str">
        <f>$C$1&amp;".E30A.REM.FR.PBSEC.DISB.L."</f>
        <v>xxxx.E30A.REM.FR.PBSEC.DISB.L.</v>
      </c>
      <c r="B1051" s="90">
        <f>PAGE8!$K$19</f>
        <v>0</v>
      </c>
      <c r="C1051" s="92"/>
    </row>
    <row r="1052" spans="1:10" x14ac:dyDescent="0.35">
      <c r="A1052" s="193" t="str">
        <f>$C$1&amp;".E30A.REM.FR.PBSEC.DISB.H."</f>
        <v>xxxx.E30A.REM.FR.PBSEC.DISB.H.</v>
      </c>
      <c r="B1052" s="90">
        <f>PAGE8!$M$19</f>
        <v>0</v>
      </c>
      <c r="C1052" s="92"/>
    </row>
    <row r="1053" spans="1:10" x14ac:dyDescent="0.35">
      <c r="A1053" s="193" t="str">
        <f>$C$1&amp;".E30A.REM.FR.PBSEC.DISB.L.M"</f>
        <v>xxxx.E30A.REM.FR.PBSEC.DISB.L.M</v>
      </c>
      <c r="B1053" s="90">
        <f>PAGE8!$O$19</f>
        <v>0</v>
      </c>
      <c r="C1053" s="92"/>
    </row>
    <row r="1054" spans="1:10" x14ac:dyDescent="0.35">
      <c r="A1054" s="193" t="str">
        <f>$C$1&amp;".E30A.REM.FR.PBSEC.DISB.H.M"</f>
        <v>xxxx.E30A.REM.FR.PBSEC.DISB.H.M</v>
      </c>
      <c r="B1054" s="90">
        <f>PAGE8!$Q$19</f>
        <v>0</v>
      </c>
      <c r="C1054" s="92"/>
    </row>
    <row r="1055" spans="1:10" x14ac:dyDescent="0.35">
      <c r="A1055" s="193" t="str">
        <f>$C$1&amp;".E30A.REM.FR.PBSEC.OS.L."</f>
        <v>xxxx.E30A.REM.FR.PBSEC.OS.L.</v>
      </c>
      <c r="B1055" s="90">
        <f>PAGE8!$S$19</f>
        <v>0</v>
      </c>
      <c r="C1055" s="92"/>
    </row>
    <row r="1056" spans="1:10" x14ac:dyDescent="0.35">
      <c r="A1056" s="193" t="str">
        <f>$C$1&amp;".E30A.REM.FR.PBSEC.OS.H."</f>
        <v>xxxx.E30A.REM.FR.PBSEC.OS.H.</v>
      </c>
      <c r="B1056" s="90">
        <f>PAGE8!$U$19</f>
        <v>0</v>
      </c>
      <c r="C1056" s="92"/>
    </row>
    <row r="1057" spans="1:3" x14ac:dyDescent="0.35">
      <c r="A1057" s="193" t="str">
        <f>$C$1&amp;".E30A.REM.FR.PBSEC.OS.L.M"</f>
        <v>xxxx.E30A.REM.FR.PBSEC.OS.L.M</v>
      </c>
      <c r="B1057" s="90">
        <f>PAGE8!$W$19</f>
        <v>0</v>
      </c>
      <c r="C1057" s="92"/>
    </row>
    <row r="1058" spans="1:3" x14ac:dyDescent="0.35">
      <c r="A1058" s="193" t="str">
        <f>$C$1&amp;".E30A.REM.FR.PBSEC.OS.H.M"</f>
        <v>xxxx.E30A.REM.FR.PBSEC.OS.H.M</v>
      </c>
      <c r="B1058" s="90">
        <f>PAGE8!$Y$19</f>
        <v>0</v>
      </c>
      <c r="C1058" s="92"/>
    </row>
    <row r="1059" spans="1:3" x14ac:dyDescent="0.35">
      <c r="A1059" s="193" t="str">
        <f>$C$1&amp;".E30A.REM.FR.PVFIN.APPR.L."</f>
        <v>xxxx.E30A.REM.FR.PVFIN.APPR.L.</v>
      </c>
      <c r="B1059" s="90">
        <f>PAGE8!$C$22</f>
        <v>0</v>
      </c>
      <c r="C1059" s="92"/>
    </row>
    <row r="1060" spans="1:3" x14ac:dyDescent="0.35">
      <c r="A1060" s="193" t="str">
        <f>$C$1&amp;".E30A.REM.FR.PVFIN.APPR.H."</f>
        <v>xxxx.E30A.REM.FR.PVFIN.APPR.H.</v>
      </c>
      <c r="B1060" s="90">
        <f>PAGE8!$E$22</f>
        <v>0</v>
      </c>
      <c r="C1060" s="92"/>
    </row>
    <row r="1061" spans="1:3" x14ac:dyDescent="0.35">
      <c r="A1061" s="193" t="str">
        <f>$C$1&amp;".E30A.REM.FR.PVFIN.APPR.L.M"</f>
        <v>xxxx.E30A.REM.FR.PVFIN.APPR.L.M</v>
      </c>
      <c r="B1061" s="90">
        <f>PAGE8!$G$22</f>
        <v>0</v>
      </c>
      <c r="C1061" s="92"/>
    </row>
    <row r="1062" spans="1:3" x14ac:dyDescent="0.35">
      <c r="A1062" s="193" t="str">
        <f>$C$1&amp;".E30A.REM.FR.PVFIN.APPR.H.M"</f>
        <v>xxxx.E30A.REM.FR.PVFIN.APPR.H.M</v>
      </c>
      <c r="B1062" s="90">
        <f>PAGE8!$I$22</f>
        <v>0</v>
      </c>
      <c r="C1062" s="92"/>
    </row>
    <row r="1063" spans="1:3" x14ac:dyDescent="0.35">
      <c r="A1063" s="193" t="str">
        <f>$C$1&amp;".E30A.REM.FR.PVFIN.DISB.L."</f>
        <v>xxxx.E30A.REM.FR.PVFIN.DISB.L.</v>
      </c>
      <c r="B1063" s="90">
        <f>PAGE8!$K$22</f>
        <v>0</v>
      </c>
      <c r="C1063" s="92"/>
    </row>
    <row r="1064" spans="1:3" x14ac:dyDescent="0.35">
      <c r="A1064" s="193" t="str">
        <f>$C$1&amp;".E30A.REM.FR.PVFIN.DISB.H."</f>
        <v>xxxx.E30A.REM.FR.PVFIN.DISB.H.</v>
      </c>
      <c r="B1064" s="90">
        <f>PAGE8!$M$22</f>
        <v>0</v>
      </c>
      <c r="C1064" s="92"/>
    </row>
    <row r="1065" spans="1:3" x14ac:dyDescent="0.35">
      <c r="A1065" s="193" t="str">
        <f>$C$1&amp;".E30A.REM.FR.PVFIN.DISB.L.M"</f>
        <v>xxxx.E30A.REM.FR.PVFIN.DISB.L.M</v>
      </c>
      <c r="B1065" s="90">
        <f>PAGE8!$O$22</f>
        <v>0</v>
      </c>
      <c r="C1065" s="92"/>
    </row>
    <row r="1066" spans="1:3" x14ac:dyDescent="0.35">
      <c r="A1066" s="193" t="str">
        <f>$C$1&amp;".E30A.REM.FR.PVFIN.DISB.H.M"</f>
        <v>xxxx.E30A.REM.FR.PVFIN.DISB.H.M</v>
      </c>
      <c r="B1066" s="90">
        <f>PAGE8!$Q$22</f>
        <v>0</v>
      </c>
      <c r="C1066" s="92"/>
    </row>
    <row r="1067" spans="1:3" x14ac:dyDescent="0.35">
      <c r="A1067" s="193" t="str">
        <f>$C$1&amp;".E30A.REM.FR.PVFIN.OS.L."</f>
        <v>xxxx.E30A.REM.FR.PVFIN.OS.L.</v>
      </c>
      <c r="B1067" s="90">
        <f>PAGE8!$S$22</f>
        <v>0</v>
      </c>
      <c r="C1067" s="92"/>
    </row>
    <row r="1068" spans="1:3" x14ac:dyDescent="0.35">
      <c r="A1068" s="193" t="str">
        <f>$C$1&amp;".E30A.REM.FR.PVFIN.OS.H."</f>
        <v>xxxx.E30A.REM.FR.PVFIN.OS.H.</v>
      </c>
      <c r="B1068" s="90">
        <f>PAGE8!$U$22</f>
        <v>0</v>
      </c>
      <c r="C1068" s="92"/>
    </row>
    <row r="1069" spans="1:3" x14ac:dyDescent="0.35">
      <c r="A1069" s="193" t="str">
        <f>$C$1&amp;".E30A.REM.FR.PVFIN.OS.L.M"</f>
        <v>xxxx.E30A.REM.FR.PVFIN.OS.L.M</v>
      </c>
      <c r="B1069" s="90">
        <f>PAGE8!$W$22</f>
        <v>0</v>
      </c>
      <c r="C1069" s="92"/>
    </row>
    <row r="1070" spans="1:3" x14ac:dyDescent="0.35">
      <c r="A1070" s="193" t="str">
        <f>$C$1&amp;".E30A.REM.FR.PVFIN.OS.H.M"</f>
        <v>xxxx.E30A.REM.FR.PVFIN.OS.H.M</v>
      </c>
      <c r="B1070" s="90">
        <f>PAGE8!$Y$22</f>
        <v>0</v>
      </c>
      <c r="C1070" s="92"/>
    </row>
    <row r="1071" spans="1:3" x14ac:dyDescent="0.35">
      <c r="A1071" s="193" t="str">
        <f>$C$1&amp;".E30A.REM.FR.IBUS.APPR.L."</f>
        <v>xxxx.E30A.REM.FR.IBUS.APPR.L.</v>
      </c>
      <c r="B1071" s="90">
        <f>PAGE8!$C$25</f>
        <v>0</v>
      </c>
      <c r="C1071" s="92"/>
    </row>
    <row r="1072" spans="1:3" x14ac:dyDescent="0.35">
      <c r="A1072" s="193" t="str">
        <f>$C$1&amp;".E30A.REM.FR.IBUS.APPR.H."</f>
        <v>xxxx.E30A.REM.FR.IBUS.APPR.H.</v>
      </c>
      <c r="B1072" s="90">
        <f>PAGE8!$E$25</f>
        <v>0</v>
      </c>
      <c r="C1072" s="92"/>
    </row>
    <row r="1073" spans="1:3" x14ac:dyDescent="0.35">
      <c r="A1073" s="193" t="str">
        <f>$C$1&amp;".E30A.REM.FR.IBUS.APPR.L.M"</f>
        <v>xxxx.E30A.REM.FR.IBUS.APPR.L.M</v>
      </c>
      <c r="B1073" s="90">
        <f>PAGE8!$G$25</f>
        <v>0</v>
      </c>
      <c r="C1073" s="92"/>
    </row>
    <row r="1074" spans="1:3" x14ac:dyDescent="0.35">
      <c r="A1074" s="193" t="str">
        <f>$C$1&amp;".E30A.REM.FR.IBUS.APPR.H.M"</f>
        <v>xxxx.E30A.REM.FR.IBUS.APPR.H.M</v>
      </c>
      <c r="B1074" s="90">
        <f>PAGE8!$I$25</f>
        <v>0</v>
      </c>
      <c r="C1074" s="92"/>
    </row>
    <row r="1075" spans="1:3" x14ac:dyDescent="0.35">
      <c r="A1075" s="193" t="str">
        <f>$C$1&amp;".E30A.REM.FR.IBUS.DISB.L."</f>
        <v>xxxx.E30A.REM.FR.IBUS.DISB.L.</v>
      </c>
      <c r="B1075" s="90">
        <f>PAGE8!$K$25</f>
        <v>0</v>
      </c>
      <c r="C1075" s="92"/>
    </row>
    <row r="1076" spans="1:3" x14ac:dyDescent="0.35">
      <c r="A1076" s="193" t="str">
        <f>$C$1&amp;".E30A.REM.FR.IBUS.DISB.H."</f>
        <v>xxxx.E30A.REM.FR.IBUS.DISB.H.</v>
      </c>
      <c r="B1076" s="90">
        <f>PAGE8!$M$25</f>
        <v>0</v>
      </c>
      <c r="C1076" s="92"/>
    </row>
    <row r="1077" spans="1:3" x14ac:dyDescent="0.35">
      <c r="A1077" s="193" t="str">
        <f>$C$1&amp;".E30A.REM.FR.IBUS.DISB.L.M"</f>
        <v>xxxx.E30A.REM.FR.IBUS.DISB.L.M</v>
      </c>
      <c r="B1077" s="90">
        <f>PAGE8!$O$25</f>
        <v>0</v>
      </c>
      <c r="C1077" s="92"/>
    </row>
    <row r="1078" spans="1:3" x14ac:dyDescent="0.35">
      <c r="A1078" s="193" t="str">
        <f>$C$1&amp;".E30A.REM.FR.IBUS.DISB.H.M"</f>
        <v>xxxx.E30A.REM.FR.IBUS.DISB.H.M</v>
      </c>
      <c r="B1078" s="90">
        <f>PAGE8!$Q$25</f>
        <v>0</v>
      </c>
      <c r="C1078" s="92"/>
    </row>
    <row r="1079" spans="1:3" x14ac:dyDescent="0.35">
      <c r="A1079" s="193" t="str">
        <f>$C$1&amp;".E30A.REM.FR.IBUS.OS.L."</f>
        <v>xxxx.E30A.REM.FR.IBUS.OS.L.</v>
      </c>
      <c r="B1079" s="90">
        <f>PAGE8!$S$25</f>
        <v>0</v>
      </c>
      <c r="C1079" s="92"/>
    </row>
    <row r="1080" spans="1:3" x14ac:dyDescent="0.35">
      <c r="A1080" s="193" t="str">
        <f>$C$1&amp;".E30A.REM.FR.IBUS.OS.H."</f>
        <v>xxxx.E30A.REM.FR.IBUS.OS.H.</v>
      </c>
      <c r="B1080" s="90">
        <f>PAGE8!$U$25</f>
        <v>0</v>
      </c>
      <c r="C1080" s="92"/>
    </row>
    <row r="1081" spans="1:3" x14ac:dyDescent="0.35">
      <c r="A1081" s="193" t="str">
        <f>$C$1&amp;".E30A.REM.FR.IBUS.OS.L.M"</f>
        <v>xxxx.E30A.REM.FR.IBUS.OS.L.M</v>
      </c>
      <c r="B1081" s="90">
        <f>PAGE8!$W$25</f>
        <v>0</v>
      </c>
      <c r="C1081" s="92"/>
    </row>
    <row r="1082" spans="1:3" x14ac:dyDescent="0.35">
      <c r="A1082" s="193" t="str">
        <f>$C$1&amp;".E30A.REM.FR.IBUS.OS.H.M"</f>
        <v>xxxx.E30A.REM.FR.IBUS.OS.H.M</v>
      </c>
      <c r="B1082" s="90">
        <f>PAGE8!$Y$25</f>
        <v>0</v>
      </c>
      <c r="C1082" s="92"/>
    </row>
    <row r="1083" spans="1:3" x14ac:dyDescent="0.35">
      <c r="A1083" s="193" t="str">
        <f>$C$1&amp;".E30A.REM.FR.UIBUS.APPR.L."</f>
        <v>xxxx.E30A.REM.FR.UIBUS.APPR.L.</v>
      </c>
      <c r="B1083" s="90">
        <f>PAGE8!$C$28</f>
        <v>0</v>
      </c>
      <c r="C1083" s="92"/>
    </row>
    <row r="1084" spans="1:3" x14ac:dyDescent="0.35">
      <c r="A1084" s="193" t="str">
        <f>$C$1&amp;".E30A.REM.FR.UIBUS.APPR.H."</f>
        <v>xxxx.E30A.REM.FR.UIBUS.APPR.H.</v>
      </c>
      <c r="B1084" s="90">
        <f>PAGE8!$E$28</f>
        <v>0</v>
      </c>
      <c r="C1084" s="92"/>
    </row>
    <row r="1085" spans="1:3" x14ac:dyDescent="0.35">
      <c r="A1085" s="193" t="str">
        <f>$C$1&amp;".E30A.REM.FR.UIBUS.APPR.L.M"</f>
        <v>xxxx.E30A.REM.FR.UIBUS.APPR.L.M</v>
      </c>
      <c r="B1085" s="90">
        <f>PAGE8!$G$28</f>
        <v>0</v>
      </c>
      <c r="C1085" s="92"/>
    </row>
    <row r="1086" spans="1:3" x14ac:dyDescent="0.35">
      <c r="A1086" s="193" t="str">
        <f>$C$1&amp;".E30A.REM.FR.UIBUS.APPR.H.M"</f>
        <v>xxxx.E30A.REM.FR.UIBUS.APPR.H.M</v>
      </c>
      <c r="B1086" s="90">
        <f>PAGE8!$I$28</f>
        <v>0</v>
      </c>
      <c r="C1086" s="92"/>
    </row>
    <row r="1087" spans="1:3" x14ac:dyDescent="0.35">
      <c r="A1087" s="193" t="str">
        <f>$C$1&amp;".E30A.REM.FR.UIBUS.DISB.L."</f>
        <v>xxxx.E30A.REM.FR.UIBUS.DISB.L.</v>
      </c>
      <c r="B1087" s="90">
        <f>PAGE8!$K$28</f>
        <v>0</v>
      </c>
      <c r="C1087" s="92"/>
    </row>
    <row r="1088" spans="1:3" x14ac:dyDescent="0.35">
      <c r="A1088" s="193" t="str">
        <f>$C$1&amp;".E30A.REM.FR.UIBUS.DISB.H."</f>
        <v>xxxx.E30A.REM.FR.UIBUS.DISB.H.</v>
      </c>
      <c r="B1088" s="90">
        <f>PAGE8!$M$28</f>
        <v>0</v>
      </c>
      <c r="C1088" s="92"/>
    </row>
    <row r="1089" spans="1:3" x14ac:dyDescent="0.35">
      <c r="A1089" s="193" t="str">
        <f>$C$1&amp;".E30A.REM.FR.UIBUS.DISB.L.M"</f>
        <v>xxxx.E30A.REM.FR.UIBUS.DISB.L.M</v>
      </c>
      <c r="B1089" s="90">
        <f>PAGE8!$O$28</f>
        <v>0</v>
      </c>
      <c r="C1089" s="92"/>
    </row>
    <row r="1090" spans="1:3" x14ac:dyDescent="0.35">
      <c r="A1090" s="193" t="str">
        <f>$C$1&amp;".E30A.REM.FR.UIBUS.DISB.H.M"</f>
        <v>xxxx.E30A.REM.FR.UIBUS.DISB.H.M</v>
      </c>
      <c r="B1090" s="90">
        <f>PAGE8!$Q$28</f>
        <v>0</v>
      </c>
      <c r="C1090" s="92"/>
    </row>
    <row r="1091" spans="1:3" x14ac:dyDescent="0.35">
      <c r="A1091" s="193" t="str">
        <f>$C$1&amp;".E30A.REM.FR.UIBUS.OS.L."</f>
        <v>xxxx.E30A.REM.FR.UIBUS.OS.L.</v>
      </c>
      <c r="B1091" s="90">
        <f>PAGE8!$S$28</f>
        <v>0</v>
      </c>
      <c r="C1091" s="92"/>
    </row>
    <row r="1092" spans="1:3" x14ac:dyDescent="0.35">
      <c r="A1092" s="193" t="str">
        <f>$C$1&amp;".E30A.REM.FR.UIBUS.OS.H."</f>
        <v>xxxx.E30A.REM.FR.UIBUS.OS.H.</v>
      </c>
      <c r="B1092" s="90">
        <f>PAGE8!$U$28</f>
        <v>0</v>
      </c>
      <c r="C1092" s="92"/>
    </row>
    <row r="1093" spans="1:3" x14ac:dyDescent="0.35">
      <c r="A1093" s="193" t="str">
        <f>$C$1&amp;".E30A.REM.FR.UIBUS.OS.L.M"</f>
        <v>xxxx.E30A.REM.FR.UIBUS.OS.L.M</v>
      </c>
      <c r="B1093" s="90">
        <f>PAGE8!$W$28</f>
        <v>0</v>
      </c>
      <c r="C1093" s="92"/>
    </row>
    <row r="1094" spans="1:3" x14ac:dyDescent="0.35">
      <c r="A1094" s="193" t="str">
        <f>$C$1&amp;".E30A.REM.FR.UIBUS.OS.H.M"</f>
        <v>xxxx.E30A.REM.FR.UIBUS.OS.H.M</v>
      </c>
      <c r="B1094" s="90">
        <f>PAGE8!$Y$28</f>
        <v>0</v>
      </c>
      <c r="C1094" s="92"/>
    </row>
    <row r="1095" spans="1:3" x14ac:dyDescent="0.35">
      <c r="A1095" s="193" t="str">
        <f>$C$1&amp;".E30A.REM.FR.CONSM.APPR.L."</f>
        <v>xxxx.E30A.REM.FR.CONSM.APPR.L.</v>
      </c>
      <c r="B1095" s="90">
        <f>PAGE8!$C$30</f>
        <v>0</v>
      </c>
      <c r="C1095" s="92"/>
    </row>
    <row r="1096" spans="1:3" x14ac:dyDescent="0.35">
      <c r="A1096" s="193" t="str">
        <f>$C$1&amp;".E30A.REM.FR.CONSM.APPR.H."</f>
        <v>xxxx.E30A.REM.FR.CONSM.APPR.H.</v>
      </c>
      <c r="B1096" s="90">
        <f>PAGE8!$E$30</f>
        <v>0</v>
      </c>
      <c r="C1096" s="92"/>
    </row>
    <row r="1097" spans="1:3" x14ac:dyDescent="0.35">
      <c r="A1097" s="193" t="str">
        <f>$C$1&amp;".E30A.REM.FR.CONSM.APPR.L.M"</f>
        <v>xxxx.E30A.REM.FR.CONSM.APPR.L.M</v>
      </c>
      <c r="B1097" s="90">
        <f>PAGE8!$G$30</f>
        <v>0</v>
      </c>
      <c r="C1097" s="92"/>
    </row>
    <row r="1098" spans="1:3" x14ac:dyDescent="0.35">
      <c r="A1098" s="193" t="str">
        <f>$C$1&amp;".E30A.REM.FR.CONSM.APPR.H.M"</f>
        <v>xxxx.E30A.REM.FR.CONSM.APPR.H.M</v>
      </c>
      <c r="B1098" s="90">
        <f>PAGE8!$I$30</f>
        <v>0</v>
      </c>
      <c r="C1098" s="92"/>
    </row>
    <row r="1099" spans="1:3" x14ac:dyDescent="0.35">
      <c r="A1099" s="193" t="str">
        <f>$C$1&amp;".E30A.REM.FR.CONSM.DISB.L."</f>
        <v>xxxx.E30A.REM.FR.CONSM.DISB.L.</v>
      </c>
      <c r="B1099" s="90">
        <f>PAGE8!$K$30</f>
        <v>0</v>
      </c>
      <c r="C1099" s="92"/>
    </row>
    <row r="1100" spans="1:3" x14ac:dyDescent="0.35">
      <c r="A1100" s="193" t="str">
        <f>$C$1&amp;".E30A.REM.FR.CONSM.DISB.H."</f>
        <v>xxxx.E30A.REM.FR.CONSM.DISB.H.</v>
      </c>
      <c r="B1100" s="90">
        <f>PAGE8!$M$30</f>
        <v>0</v>
      </c>
      <c r="C1100" s="92"/>
    </row>
    <row r="1101" spans="1:3" x14ac:dyDescent="0.35">
      <c r="A1101" s="193" t="str">
        <f>$C$1&amp;".E30A.REM.FR.CONSM.DISB.L.M"</f>
        <v>xxxx.E30A.REM.FR.CONSM.DISB.L.M</v>
      </c>
      <c r="B1101" s="90">
        <f>PAGE8!$O$30</f>
        <v>0</v>
      </c>
      <c r="C1101" s="92"/>
    </row>
    <row r="1102" spans="1:3" x14ac:dyDescent="0.35">
      <c r="A1102" s="193" t="str">
        <f>$C$1&amp;".E30A.REM.FR.CONSM.DISB.H.M"</f>
        <v>xxxx.E30A.REM.FR.CONSM.DISB.H.M</v>
      </c>
      <c r="B1102" s="90">
        <f>PAGE8!$Q$30</f>
        <v>0</v>
      </c>
      <c r="C1102" s="92"/>
    </row>
    <row r="1103" spans="1:3" x14ac:dyDescent="0.35">
      <c r="A1103" s="193" t="str">
        <f>$C$1&amp;".E30A.REM.FR.CONSM.OS.L."</f>
        <v>xxxx.E30A.REM.FR.CONSM.OS.L.</v>
      </c>
      <c r="B1103" s="90">
        <f>PAGE8!$S$30</f>
        <v>0</v>
      </c>
      <c r="C1103" s="92"/>
    </row>
    <row r="1104" spans="1:3" x14ac:dyDescent="0.35">
      <c r="A1104" s="193" t="str">
        <f>$C$1&amp;".E30A.REM.FR.CONSM.OS.H."</f>
        <v>xxxx.E30A.REM.FR.CONSM.OS.H.</v>
      </c>
      <c r="B1104" s="90">
        <f>PAGE8!$U$30</f>
        <v>0</v>
      </c>
      <c r="C1104" s="92"/>
    </row>
    <row r="1105" spans="1:3" x14ac:dyDescent="0.35">
      <c r="A1105" s="193" t="str">
        <f>$C$1&amp;".E30A.REM.FR.CONSM.OS.L.M"</f>
        <v>xxxx.E30A.REM.FR.CONSM.OS.L.M</v>
      </c>
      <c r="B1105" s="90">
        <f>PAGE8!$W$30</f>
        <v>0</v>
      </c>
      <c r="C1105" s="92"/>
    </row>
    <row r="1106" spans="1:3" x14ac:dyDescent="0.35">
      <c r="A1106" s="193" t="str">
        <f>$C$1&amp;".E30A.REM.FR.CONSM.OS.H.M"</f>
        <v>xxxx.E30A.REM.FR.CONSM.OS.H.M</v>
      </c>
      <c r="B1106" s="90">
        <f>PAGE8!$Y$30</f>
        <v>0</v>
      </c>
      <c r="C1106" s="92"/>
    </row>
    <row r="1107" spans="1:3" x14ac:dyDescent="0.35">
      <c r="A1107" s="193" t="str">
        <f>$C$1&amp;".E30A.REM.VR.PBSEC.APPR.L."</f>
        <v>xxxx.E30A.REM.VR.PBSEC.APPR.L.</v>
      </c>
      <c r="B1107" s="90">
        <f>PAGE8!$C$40</f>
        <v>0</v>
      </c>
      <c r="C1107" s="92"/>
    </row>
    <row r="1108" spans="1:3" x14ac:dyDescent="0.35">
      <c r="A1108" s="193" t="str">
        <f>$C$1&amp;".E30A.REM.VR.PBSEC.APPR.H."</f>
        <v>xxxx.E30A.REM.VR.PBSEC.APPR.H.</v>
      </c>
      <c r="B1108" s="90">
        <f>PAGE8!$E$40</f>
        <v>0</v>
      </c>
      <c r="C1108" s="92"/>
    </row>
    <row r="1109" spans="1:3" x14ac:dyDescent="0.35">
      <c r="A1109" s="193" t="str">
        <f>$C$1&amp;".E30A.REM.VR.PBSEC.APPR.L.M"</f>
        <v>xxxx.E30A.REM.VR.PBSEC.APPR.L.M</v>
      </c>
      <c r="B1109" s="90">
        <f>PAGE8!$G$40</f>
        <v>0</v>
      </c>
      <c r="C1109" s="92"/>
    </row>
    <row r="1110" spans="1:3" x14ac:dyDescent="0.35">
      <c r="A1110" s="193" t="str">
        <f>$C$1&amp;".E30A.REM.VR.PBSEC.APPR.H.M"</f>
        <v>xxxx.E30A.REM.VR.PBSEC.APPR.H.M</v>
      </c>
      <c r="B1110" s="90">
        <f>PAGE8!$I$40</f>
        <v>0</v>
      </c>
      <c r="C1110" s="92"/>
    </row>
    <row r="1111" spans="1:3" x14ac:dyDescent="0.35">
      <c r="A1111" s="193" t="str">
        <f>$C$1&amp;".E30A.REM.VR.PBSEC.DISB.L."</f>
        <v>xxxx.E30A.REM.VR.PBSEC.DISB.L.</v>
      </c>
      <c r="B1111" s="90">
        <f>PAGE8!$K$40</f>
        <v>0</v>
      </c>
      <c r="C1111" s="92"/>
    </row>
    <row r="1112" spans="1:3" x14ac:dyDescent="0.35">
      <c r="A1112" s="193" t="str">
        <f>$C$1&amp;".E30A.REM.VR.PBSEC.DISB.H."</f>
        <v>xxxx.E30A.REM.VR.PBSEC.DISB.H.</v>
      </c>
      <c r="B1112" s="90">
        <f>PAGE8!$M$40</f>
        <v>0</v>
      </c>
      <c r="C1112" s="92"/>
    </row>
    <row r="1113" spans="1:3" x14ac:dyDescent="0.35">
      <c r="A1113" s="193" t="str">
        <f>$C$1&amp;".E30A.REM.VR.PBSEC.DISB.L.M"</f>
        <v>xxxx.E30A.REM.VR.PBSEC.DISB.L.M</v>
      </c>
      <c r="B1113" s="90">
        <f>PAGE8!$O$40</f>
        <v>0</v>
      </c>
      <c r="C1113" s="92"/>
    </row>
    <row r="1114" spans="1:3" x14ac:dyDescent="0.35">
      <c r="A1114" s="193" t="str">
        <f>$C$1&amp;".E30A.REM.VR.PBSEC.DISB.H.M"</f>
        <v>xxxx.E30A.REM.VR.PBSEC.DISB.H.M</v>
      </c>
      <c r="B1114" s="90">
        <f>PAGE8!$Q$40</f>
        <v>0</v>
      </c>
      <c r="C1114" s="92"/>
    </row>
    <row r="1115" spans="1:3" x14ac:dyDescent="0.35">
      <c r="A1115" s="193" t="str">
        <f>$C$1&amp;".E30A.REM.VR.PBSEC.OS.L."</f>
        <v>xxxx.E30A.REM.VR.PBSEC.OS.L.</v>
      </c>
      <c r="B1115" s="90">
        <f>PAGE8!$S$40</f>
        <v>0</v>
      </c>
      <c r="C1115" s="92"/>
    </row>
    <row r="1116" spans="1:3" x14ac:dyDescent="0.35">
      <c r="A1116" s="193" t="str">
        <f>$C$1&amp;".E30A.REM.VR.PBSEC.OS.H."</f>
        <v>xxxx.E30A.REM.VR.PBSEC.OS.H.</v>
      </c>
      <c r="B1116" s="90">
        <f>PAGE8!$U$40</f>
        <v>0</v>
      </c>
      <c r="C1116" s="92"/>
    </row>
    <row r="1117" spans="1:3" x14ac:dyDescent="0.35">
      <c r="A1117" s="193" t="str">
        <f>$C$1&amp;".E30A.REM.VR.PBSEC.OS.L.M"</f>
        <v>xxxx.E30A.REM.VR.PBSEC.OS.L.M</v>
      </c>
      <c r="B1117" s="90">
        <f>PAGE8!$W$40</f>
        <v>0</v>
      </c>
      <c r="C1117" s="92"/>
    </row>
    <row r="1118" spans="1:3" x14ac:dyDescent="0.35">
      <c r="A1118" s="193" t="str">
        <f>$C$1&amp;".E30A.REM.VR.PBSEC.OS.H.M"</f>
        <v>xxxx.E30A.REM.VR.PBSEC.OS.H.M</v>
      </c>
      <c r="B1118" s="90">
        <f>PAGE8!$Y$40</f>
        <v>0</v>
      </c>
      <c r="C1118" s="92"/>
    </row>
    <row r="1119" spans="1:3" x14ac:dyDescent="0.35">
      <c r="A1119" s="193" t="str">
        <f>$C$1&amp;".E30A.REM.VR.PVFIN.APPR.L."</f>
        <v>xxxx.E30A.REM.VR.PVFIN.APPR.L.</v>
      </c>
      <c r="B1119" s="90">
        <f>PAGE8!$C$43</f>
        <v>0</v>
      </c>
      <c r="C1119" s="92"/>
    </row>
    <row r="1120" spans="1:3" x14ac:dyDescent="0.35">
      <c r="A1120" s="193" t="str">
        <f>$C$1&amp;".E30A.REM.VR.PVFIN.APPR.H."</f>
        <v>xxxx.E30A.REM.VR.PVFIN.APPR.H.</v>
      </c>
      <c r="B1120" s="90">
        <f>PAGE8!$E$43</f>
        <v>0</v>
      </c>
      <c r="C1120" s="92"/>
    </row>
    <row r="1121" spans="1:3" x14ac:dyDescent="0.35">
      <c r="A1121" s="193" t="str">
        <f>$C$1&amp;".E30A.REM.VR.PVFIN.APPR.L.M"</f>
        <v>xxxx.E30A.REM.VR.PVFIN.APPR.L.M</v>
      </c>
      <c r="B1121" s="90">
        <f>PAGE8!$G$43</f>
        <v>0</v>
      </c>
      <c r="C1121" s="92"/>
    </row>
    <row r="1122" spans="1:3" x14ac:dyDescent="0.35">
      <c r="A1122" s="193" t="str">
        <f>$C$1&amp;".E30A.REM.VR.PVFIN.APPR.H.M"</f>
        <v>xxxx.E30A.REM.VR.PVFIN.APPR.H.M</v>
      </c>
      <c r="B1122" s="90">
        <f>PAGE8!$I$43</f>
        <v>0</v>
      </c>
      <c r="C1122" s="92"/>
    </row>
    <row r="1123" spans="1:3" x14ac:dyDescent="0.35">
      <c r="A1123" s="193" t="str">
        <f>$C$1&amp;".E30A.REM.VR.PVFIN.DISB.L."</f>
        <v>xxxx.E30A.REM.VR.PVFIN.DISB.L.</v>
      </c>
      <c r="B1123" s="90">
        <f>PAGE8!$K$43</f>
        <v>0</v>
      </c>
      <c r="C1123" s="92"/>
    </row>
    <row r="1124" spans="1:3" x14ac:dyDescent="0.35">
      <c r="A1124" s="193" t="str">
        <f>$C$1&amp;".E30A.REM.VR.PVFIN.DISB.H."</f>
        <v>xxxx.E30A.REM.VR.PVFIN.DISB.H.</v>
      </c>
      <c r="B1124" s="90">
        <f>PAGE8!$M$43</f>
        <v>0</v>
      </c>
      <c r="C1124" s="92"/>
    </row>
    <row r="1125" spans="1:3" x14ac:dyDescent="0.35">
      <c r="A1125" s="193" t="str">
        <f>$C$1&amp;".E30A.REM.VR.PVFIN.DISB.L.M"</f>
        <v>xxxx.E30A.REM.VR.PVFIN.DISB.L.M</v>
      </c>
      <c r="B1125" s="90">
        <f>PAGE8!$O$43</f>
        <v>0</v>
      </c>
      <c r="C1125" s="92"/>
    </row>
    <row r="1126" spans="1:3" x14ac:dyDescent="0.35">
      <c r="A1126" s="193" t="str">
        <f>$C$1&amp;".E30A.REM.VR.PVFIN.DISB.H.M"</f>
        <v>xxxx.E30A.REM.VR.PVFIN.DISB.H.M</v>
      </c>
      <c r="B1126" s="90">
        <f>PAGE8!$Q$43</f>
        <v>0</v>
      </c>
      <c r="C1126" s="92"/>
    </row>
    <row r="1127" spans="1:3" x14ac:dyDescent="0.35">
      <c r="A1127" s="193" t="str">
        <f>$C$1&amp;".E30A.REM.VR.PVFIN.OS.L."</f>
        <v>xxxx.E30A.REM.VR.PVFIN.OS.L.</v>
      </c>
      <c r="B1127" s="90">
        <f>PAGE8!$S$43</f>
        <v>0</v>
      </c>
      <c r="C1127" s="92"/>
    </row>
    <row r="1128" spans="1:3" x14ac:dyDescent="0.35">
      <c r="A1128" s="193" t="str">
        <f>$C$1&amp;".E30A.REM.VR.PVFIN.OS.H."</f>
        <v>xxxx.E30A.REM.VR.PVFIN.OS.H.</v>
      </c>
      <c r="B1128" s="90">
        <f>PAGE8!$U$43</f>
        <v>0</v>
      </c>
      <c r="C1128" s="92"/>
    </row>
    <row r="1129" spans="1:3" x14ac:dyDescent="0.35">
      <c r="A1129" s="193" t="str">
        <f>$C$1&amp;".E30A.REM.VR.PVFIN.OS.L.M"</f>
        <v>xxxx.E30A.REM.VR.PVFIN.OS.L.M</v>
      </c>
      <c r="B1129" s="90">
        <f>PAGE8!$W$43</f>
        <v>0</v>
      </c>
      <c r="C1129" s="92"/>
    </row>
    <row r="1130" spans="1:3" x14ac:dyDescent="0.35">
      <c r="A1130" s="193" t="str">
        <f>$C$1&amp;".E30A.REM.VR.PVFIN.OS.H.M"</f>
        <v>xxxx.E30A.REM.VR.PVFIN.OS.H.M</v>
      </c>
      <c r="B1130" s="90">
        <f>PAGE8!$Y$43</f>
        <v>0</v>
      </c>
      <c r="C1130" s="92"/>
    </row>
    <row r="1131" spans="1:3" x14ac:dyDescent="0.35">
      <c r="A1131" s="193" t="str">
        <f>$C$1&amp;".E30A.REM.VR.IBUS.APPR.L."</f>
        <v>xxxx.E30A.REM.VR.IBUS.APPR.L.</v>
      </c>
      <c r="B1131" s="90">
        <f>PAGE8!$C$46</f>
        <v>0</v>
      </c>
      <c r="C1131" s="92"/>
    </row>
    <row r="1132" spans="1:3" x14ac:dyDescent="0.35">
      <c r="A1132" s="193" t="str">
        <f>$C$1&amp;".E30A.REM.VR.IBUS.APPR.H."</f>
        <v>xxxx.E30A.REM.VR.IBUS.APPR.H.</v>
      </c>
      <c r="B1132" s="90">
        <f>PAGE8!$E$46</f>
        <v>0</v>
      </c>
      <c r="C1132" s="92"/>
    </row>
    <row r="1133" spans="1:3" x14ac:dyDescent="0.35">
      <c r="A1133" s="193" t="str">
        <f>$C$1&amp;".E30A.REM.VR.IBUS.APPR.L.M"</f>
        <v>xxxx.E30A.REM.VR.IBUS.APPR.L.M</v>
      </c>
      <c r="B1133" s="90">
        <f>PAGE8!$G$46</f>
        <v>0</v>
      </c>
      <c r="C1133" s="92"/>
    </row>
    <row r="1134" spans="1:3" x14ac:dyDescent="0.35">
      <c r="A1134" s="193" t="str">
        <f>$C$1&amp;".E30A.REM.VR.IBUS.APPR.H.M"</f>
        <v>xxxx.E30A.REM.VR.IBUS.APPR.H.M</v>
      </c>
      <c r="B1134" s="90">
        <f>PAGE8!$I$46</f>
        <v>0</v>
      </c>
      <c r="C1134" s="92"/>
    </row>
    <row r="1135" spans="1:3" x14ac:dyDescent="0.35">
      <c r="A1135" s="193" t="str">
        <f>$C$1&amp;".E30A.REM.VR.IBUS.DISB.L."</f>
        <v>xxxx.E30A.REM.VR.IBUS.DISB.L.</v>
      </c>
      <c r="B1135" s="90">
        <f>PAGE8!$K$46</f>
        <v>0</v>
      </c>
      <c r="C1135" s="92"/>
    </row>
    <row r="1136" spans="1:3" x14ac:dyDescent="0.35">
      <c r="A1136" s="193" t="str">
        <f>$C$1&amp;".E30A.REM.VR.IBUS.DISB.H."</f>
        <v>xxxx.E30A.REM.VR.IBUS.DISB.H.</v>
      </c>
      <c r="B1136" s="90">
        <f>PAGE8!$M$46</f>
        <v>0</v>
      </c>
      <c r="C1136" s="92"/>
    </row>
    <row r="1137" spans="1:3" x14ac:dyDescent="0.35">
      <c r="A1137" s="193" t="str">
        <f>$C$1&amp;".E30A.REM.VR.IBUS.DISB.L.M"</f>
        <v>xxxx.E30A.REM.VR.IBUS.DISB.L.M</v>
      </c>
      <c r="B1137" s="90">
        <f>PAGE8!$O$46</f>
        <v>0</v>
      </c>
      <c r="C1137" s="92"/>
    </row>
    <row r="1138" spans="1:3" x14ac:dyDescent="0.35">
      <c r="A1138" s="193" t="str">
        <f>$C$1&amp;".E30A.REM.VR.IBUS.DISB.H.M"</f>
        <v>xxxx.E30A.REM.VR.IBUS.DISB.H.M</v>
      </c>
      <c r="B1138" s="90">
        <f>PAGE8!$Q$46</f>
        <v>0</v>
      </c>
      <c r="C1138" s="92"/>
    </row>
    <row r="1139" spans="1:3" x14ac:dyDescent="0.35">
      <c r="A1139" s="193" t="str">
        <f>$C$1&amp;".E30A.REM.VR.IBUS.OS.L."</f>
        <v>xxxx.E30A.REM.VR.IBUS.OS.L.</v>
      </c>
      <c r="B1139" s="90">
        <f>PAGE8!$S$46</f>
        <v>0</v>
      </c>
      <c r="C1139" s="92"/>
    </row>
    <row r="1140" spans="1:3" x14ac:dyDescent="0.35">
      <c r="A1140" s="193" t="str">
        <f>$C$1&amp;".E30A.REM.VR.IBUS.OS.H."</f>
        <v>xxxx.E30A.REM.VR.IBUS.OS.H.</v>
      </c>
      <c r="B1140" s="90">
        <f>PAGE8!$U$46</f>
        <v>0</v>
      </c>
      <c r="C1140" s="92"/>
    </row>
    <row r="1141" spans="1:3" x14ac:dyDescent="0.35">
      <c r="A1141" s="193" t="str">
        <f>$C$1&amp;".E30A.REM.VR.IBUS.OS.L.M"</f>
        <v>xxxx.E30A.REM.VR.IBUS.OS.L.M</v>
      </c>
      <c r="B1141" s="90">
        <f>PAGE8!$W$46</f>
        <v>0</v>
      </c>
      <c r="C1141" s="92"/>
    </row>
    <row r="1142" spans="1:3" x14ac:dyDescent="0.35">
      <c r="A1142" s="193" t="str">
        <f>$C$1&amp;".E30A.REM.VR.IBUS.OS.H.M"</f>
        <v>xxxx.E30A.REM.VR.IBUS.OS.H.M</v>
      </c>
      <c r="B1142" s="90">
        <f>PAGE8!$Y$46</f>
        <v>0</v>
      </c>
      <c r="C1142" s="92"/>
    </row>
    <row r="1143" spans="1:3" x14ac:dyDescent="0.35">
      <c r="A1143" s="193" t="str">
        <f>$C$1&amp;".E30A.REM.VR.UIBUS.APPR.L."</f>
        <v>xxxx.E30A.REM.VR.UIBUS.APPR.L.</v>
      </c>
      <c r="B1143" s="90">
        <f>PAGE8!$C$49</f>
        <v>0</v>
      </c>
      <c r="C1143" s="92"/>
    </row>
    <row r="1144" spans="1:3" x14ac:dyDescent="0.35">
      <c r="A1144" s="193" t="str">
        <f>$C$1&amp;".E30A.REM.VR.UIBUS.APPR.H."</f>
        <v>xxxx.E30A.REM.VR.UIBUS.APPR.H.</v>
      </c>
      <c r="B1144" s="90">
        <f>PAGE8!$E$49</f>
        <v>0</v>
      </c>
      <c r="C1144" s="92"/>
    </row>
    <row r="1145" spans="1:3" x14ac:dyDescent="0.35">
      <c r="A1145" s="193" t="str">
        <f>$C$1&amp;".E30A.REM.VR.UIBUS.APPR.L.M"</f>
        <v>xxxx.E30A.REM.VR.UIBUS.APPR.L.M</v>
      </c>
      <c r="B1145" s="90">
        <f>PAGE8!$G$49</f>
        <v>0</v>
      </c>
      <c r="C1145" s="92"/>
    </row>
    <row r="1146" spans="1:3" x14ac:dyDescent="0.35">
      <c r="A1146" s="193" t="str">
        <f>$C$1&amp;".E30A.REM.VR.UIBUS.APPR.H.M"</f>
        <v>xxxx.E30A.REM.VR.UIBUS.APPR.H.M</v>
      </c>
      <c r="B1146" s="90">
        <f>PAGE8!$I$49</f>
        <v>0</v>
      </c>
      <c r="C1146" s="92"/>
    </row>
    <row r="1147" spans="1:3" x14ac:dyDescent="0.35">
      <c r="A1147" s="193" t="str">
        <f>$C$1&amp;".E30A.REM.VR.UIBUS.DISB.L."</f>
        <v>xxxx.E30A.REM.VR.UIBUS.DISB.L.</v>
      </c>
      <c r="B1147" s="90">
        <f>PAGE8!$K$49</f>
        <v>0</v>
      </c>
      <c r="C1147" s="92"/>
    </row>
    <row r="1148" spans="1:3" x14ac:dyDescent="0.35">
      <c r="A1148" s="193" t="str">
        <f>$C$1&amp;".E30A.REM.VR.UIBUS.DISB.H."</f>
        <v>xxxx.E30A.REM.VR.UIBUS.DISB.H.</v>
      </c>
      <c r="B1148" s="90">
        <f>PAGE8!$M$49</f>
        <v>0</v>
      </c>
      <c r="C1148" s="92"/>
    </row>
    <row r="1149" spans="1:3" x14ac:dyDescent="0.35">
      <c r="A1149" s="193" t="str">
        <f>$C$1&amp;".E30A.REM.VR.UIBUS.DISB.L.M"</f>
        <v>xxxx.E30A.REM.VR.UIBUS.DISB.L.M</v>
      </c>
      <c r="B1149" s="90">
        <f>PAGE8!$O$49</f>
        <v>0</v>
      </c>
      <c r="C1149" s="92"/>
    </row>
    <row r="1150" spans="1:3" x14ac:dyDescent="0.35">
      <c r="A1150" s="193" t="str">
        <f>$C$1&amp;".E30A.REM.VR.UIBUS.DISB.H.M"</f>
        <v>xxxx.E30A.REM.VR.UIBUS.DISB.H.M</v>
      </c>
      <c r="B1150" s="90">
        <f>PAGE8!$Q$49</f>
        <v>0</v>
      </c>
      <c r="C1150" s="92"/>
    </row>
    <row r="1151" spans="1:3" x14ac:dyDescent="0.35">
      <c r="A1151" s="193" t="str">
        <f>$C$1&amp;".E30A.REM.VR.UIBUS.OS.L."</f>
        <v>xxxx.E30A.REM.VR.UIBUS.OS.L.</v>
      </c>
      <c r="B1151" s="90">
        <f>PAGE8!$S$49</f>
        <v>0</v>
      </c>
      <c r="C1151" s="92"/>
    </row>
    <row r="1152" spans="1:3" x14ac:dyDescent="0.35">
      <c r="A1152" s="193" t="str">
        <f>$C$1&amp;".E30A.REM.VR.UIBUS.OS.H."</f>
        <v>xxxx.E30A.REM.VR.UIBUS.OS.H.</v>
      </c>
      <c r="B1152" s="90">
        <f>PAGE8!$U$49</f>
        <v>0</v>
      </c>
      <c r="C1152" s="92"/>
    </row>
    <row r="1153" spans="1:3" x14ac:dyDescent="0.35">
      <c r="A1153" s="193" t="str">
        <f>$C$1&amp;".E30A.REM.VR.UIBUS.OS.L.M"</f>
        <v>xxxx.E30A.REM.VR.UIBUS.OS.L.M</v>
      </c>
      <c r="B1153" s="90">
        <f>PAGE8!$W$49</f>
        <v>0</v>
      </c>
      <c r="C1153" s="92"/>
    </row>
    <row r="1154" spans="1:3" x14ac:dyDescent="0.35">
      <c r="A1154" s="193" t="str">
        <f>$C$1&amp;".E30A.REM.VR.UIBUS.OS.H.M"</f>
        <v>xxxx.E30A.REM.VR.UIBUS.OS.H.M</v>
      </c>
      <c r="B1154" s="90">
        <f>PAGE8!$Y$49</f>
        <v>0</v>
      </c>
      <c r="C1154" s="92"/>
    </row>
    <row r="1155" spans="1:3" x14ac:dyDescent="0.35">
      <c r="A1155" s="193" t="str">
        <f>$C$1&amp;".E30A.REM.VR.CONSM.APPR.L."</f>
        <v>xxxx.E30A.REM.VR.CONSM.APPR.L.</v>
      </c>
      <c r="B1155" s="90">
        <f>PAGE8!$C$51</f>
        <v>0</v>
      </c>
      <c r="C1155" s="92"/>
    </row>
    <row r="1156" spans="1:3" x14ac:dyDescent="0.35">
      <c r="A1156" s="193" t="str">
        <f>$C$1&amp;".E30A.REM.VR.CONSM.APPR.H."</f>
        <v>xxxx.E30A.REM.VR.CONSM.APPR.H.</v>
      </c>
      <c r="B1156" s="90">
        <f>PAGE8!$E$51</f>
        <v>0</v>
      </c>
      <c r="C1156" s="92"/>
    </row>
    <row r="1157" spans="1:3" x14ac:dyDescent="0.35">
      <c r="A1157" s="193" t="str">
        <f>$C$1&amp;".E30A.REM.VR.CONSM.APPR.L.M"</f>
        <v>xxxx.E30A.REM.VR.CONSM.APPR.L.M</v>
      </c>
      <c r="B1157" s="90">
        <f>PAGE8!$G$51</f>
        <v>0</v>
      </c>
      <c r="C1157" s="92"/>
    </row>
    <row r="1158" spans="1:3" x14ac:dyDescent="0.35">
      <c r="A1158" s="193" t="str">
        <f>$C$1&amp;".E30A.REM.VR.CONSM.APPR.H.M"</f>
        <v>xxxx.E30A.REM.VR.CONSM.APPR.H.M</v>
      </c>
      <c r="B1158" s="90">
        <f>PAGE8!$I$51</f>
        <v>0</v>
      </c>
      <c r="C1158" s="92"/>
    </row>
    <row r="1159" spans="1:3" x14ac:dyDescent="0.35">
      <c r="A1159" s="193" t="str">
        <f>$C$1&amp;".E30A.REM.VR.CONSM.DISB.L."</f>
        <v>xxxx.E30A.REM.VR.CONSM.DISB.L.</v>
      </c>
      <c r="B1159" s="90">
        <f>PAGE8!$K$51</f>
        <v>0</v>
      </c>
      <c r="C1159" s="92"/>
    </row>
    <row r="1160" spans="1:3" x14ac:dyDescent="0.35">
      <c r="A1160" s="193" t="str">
        <f>$C$1&amp;".E30A.REM.VR.CONSM.DISB.H."</f>
        <v>xxxx.E30A.REM.VR.CONSM.DISB.H.</v>
      </c>
      <c r="B1160" s="90">
        <f>PAGE8!$M$51</f>
        <v>0</v>
      </c>
      <c r="C1160" s="92"/>
    </row>
    <row r="1161" spans="1:3" x14ac:dyDescent="0.35">
      <c r="A1161" s="193" t="str">
        <f>$C$1&amp;".E30A.REM.VR.CONSM.DISB.L.M"</f>
        <v>xxxx.E30A.REM.VR.CONSM.DISB.L.M</v>
      </c>
      <c r="B1161" s="90">
        <f>PAGE8!$O$51</f>
        <v>0</v>
      </c>
      <c r="C1161" s="92"/>
    </row>
    <row r="1162" spans="1:3" x14ac:dyDescent="0.35">
      <c r="A1162" s="193" t="str">
        <f>$C$1&amp;".E30A.REM.VR.CONSM.DISB.H.M"</f>
        <v>xxxx.E30A.REM.VR.CONSM.DISB.H.M</v>
      </c>
      <c r="B1162" s="90">
        <f>PAGE8!$Q$51</f>
        <v>0</v>
      </c>
      <c r="C1162" s="92"/>
    </row>
    <row r="1163" spans="1:3" x14ac:dyDescent="0.35">
      <c r="A1163" s="193" t="str">
        <f>$C$1&amp;".E30A.REM.VR.CONSM.OS.L."</f>
        <v>xxxx.E30A.REM.VR.CONSM.OS.L.</v>
      </c>
      <c r="B1163" s="90">
        <f>PAGE8!$S$51</f>
        <v>0</v>
      </c>
      <c r="C1163" s="92"/>
    </row>
    <row r="1164" spans="1:3" x14ac:dyDescent="0.35">
      <c r="A1164" s="193" t="str">
        <f>$C$1&amp;".E30A.REM.VR.CONSM.OS.H."</f>
        <v>xxxx.E30A.REM.VR.CONSM.OS.H.</v>
      </c>
      <c r="B1164" s="90">
        <f>PAGE8!$U$51</f>
        <v>0</v>
      </c>
      <c r="C1164" s="92"/>
    </row>
    <row r="1165" spans="1:3" x14ac:dyDescent="0.35">
      <c r="A1165" s="193" t="str">
        <f>$C$1&amp;".E30A.REM.VR.CONSM.OS.L.M"</f>
        <v>xxxx.E30A.REM.VR.CONSM.OS.L.M</v>
      </c>
      <c r="B1165" s="90">
        <f>PAGE8!$W$51</f>
        <v>0</v>
      </c>
      <c r="C1165" s="92"/>
    </row>
    <row r="1166" spans="1:3" x14ac:dyDescent="0.35">
      <c r="A1166" s="193" t="str">
        <f>$C$1&amp;".E30A.REM.VR.CONSM.OS.H.M"</f>
        <v>xxxx.E30A.REM.VR.CONSM.OS.H.M</v>
      </c>
      <c r="B1166" s="90">
        <f>PAGE8!$Y$51</f>
        <v>0</v>
      </c>
      <c r="C1166" s="92"/>
    </row>
    <row r="1167" spans="1:3" x14ac:dyDescent="0.35">
      <c r="A1167" s="193" t="str">
        <f>$C$1&amp;".E30A.REM.AR.PBSEC.APPR.L."</f>
        <v>xxxx.E30A.REM.AR.PBSEC.APPR.L.</v>
      </c>
      <c r="B1167" s="90">
        <f>PAGE8!$C$61</f>
        <v>0</v>
      </c>
      <c r="C1167" s="92"/>
    </row>
    <row r="1168" spans="1:3" x14ac:dyDescent="0.35">
      <c r="A1168" s="193" t="str">
        <f>$C$1&amp;".E30A.REM.AR.PBSEC.APPR.H."</f>
        <v>xxxx.E30A.REM.AR.PBSEC.APPR.H.</v>
      </c>
      <c r="B1168" s="90">
        <f>PAGE8!$E$61</f>
        <v>0</v>
      </c>
      <c r="C1168" s="92"/>
    </row>
    <row r="1169" spans="1:3" x14ac:dyDescent="0.35">
      <c r="A1169" s="193" t="str">
        <f>$C$1&amp;".E30A.REM.AR.PBSEC.APPR.L.M"</f>
        <v>xxxx.E30A.REM.AR.PBSEC.APPR.L.M</v>
      </c>
      <c r="B1169" s="90">
        <f>PAGE8!$G$61</f>
        <v>0</v>
      </c>
      <c r="C1169" s="92"/>
    </row>
    <row r="1170" spans="1:3" x14ac:dyDescent="0.35">
      <c r="A1170" s="193" t="str">
        <f>$C$1&amp;".E30A.REM.AR.PBSEC.APPR.H.M"</f>
        <v>xxxx.E30A.REM.AR.PBSEC.APPR.H.M</v>
      </c>
      <c r="B1170" s="90">
        <f>PAGE8!$I$61</f>
        <v>0</v>
      </c>
      <c r="C1170" s="92"/>
    </row>
    <row r="1171" spans="1:3" x14ac:dyDescent="0.35">
      <c r="A1171" s="193" t="str">
        <f>$C$1&amp;".E30A.REM.AR.PBSEC.DISB.L."</f>
        <v>xxxx.E30A.REM.AR.PBSEC.DISB.L.</v>
      </c>
      <c r="B1171" s="90">
        <f>PAGE8!$K$61</f>
        <v>0</v>
      </c>
      <c r="C1171" s="92"/>
    </row>
    <row r="1172" spans="1:3" x14ac:dyDescent="0.35">
      <c r="A1172" s="193" t="str">
        <f>$C$1&amp;".E30A.REM.AR.PBSEC.DISB.H."</f>
        <v>xxxx.E30A.REM.AR.PBSEC.DISB.H.</v>
      </c>
      <c r="B1172" s="90">
        <f>PAGE8!$M$61</f>
        <v>0</v>
      </c>
      <c r="C1172" s="92"/>
    </row>
    <row r="1173" spans="1:3" x14ac:dyDescent="0.35">
      <c r="A1173" s="193" t="str">
        <f>$C$1&amp;".E30A.REM.AR.PBSEC.DISB.L.M"</f>
        <v>xxxx.E30A.REM.AR.PBSEC.DISB.L.M</v>
      </c>
      <c r="B1173" s="90">
        <f>PAGE8!$O$61</f>
        <v>0</v>
      </c>
      <c r="C1173" s="92"/>
    </row>
    <row r="1174" spans="1:3" x14ac:dyDescent="0.35">
      <c r="A1174" s="193" t="str">
        <f>$C$1&amp;".E30A.REM.AR.PBSEC.DISB.H.M"</f>
        <v>xxxx.E30A.REM.AR.PBSEC.DISB.H.M</v>
      </c>
      <c r="B1174" s="90">
        <f>PAGE8!$Q$61</f>
        <v>0</v>
      </c>
      <c r="C1174" s="92"/>
    </row>
    <row r="1175" spans="1:3" x14ac:dyDescent="0.35">
      <c r="A1175" s="193" t="str">
        <f>$C$1&amp;".E30A.REM.AR.PBSEC.OS.L."</f>
        <v>xxxx.E30A.REM.AR.PBSEC.OS.L.</v>
      </c>
      <c r="B1175" s="90">
        <f>PAGE8!$S$61</f>
        <v>0</v>
      </c>
      <c r="C1175" s="92"/>
    </row>
    <row r="1176" spans="1:3" x14ac:dyDescent="0.35">
      <c r="A1176" s="193" t="str">
        <f>$C$1&amp;".E30A.REM.AR.PBSEC.OS.H."</f>
        <v>xxxx.E30A.REM.AR.PBSEC.OS.H.</v>
      </c>
      <c r="B1176" s="90">
        <f>PAGE8!$U$61</f>
        <v>0</v>
      </c>
      <c r="C1176" s="92"/>
    </row>
    <row r="1177" spans="1:3" x14ac:dyDescent="0.35">
      <c r="A1177" s="193" t="str">
        <f>$C$1&amp;".E30A.REM.AR.PBSEC.OS.L.M"</f>
        <v>xxxx.E30A.REM.AR.PBSEC.OS.L.M</v>
      </c>
      <c r="B1177" s="90">
        <f>PAGE8!$W$61</f>
        <v>0</v>
      </c>
      <c r="C1177" s="92"/>
    </row>
    <row r="1178" spans="1:3" x14ac:dyDescent="0.35">
      <c r="A1178" s="193" t="str">
        <f>$C$1&amp;".E30A.REM.AR.PBSEC.OS.H.M"</f>
        <v>xxxx.E30A.REM.AR.PBSEC.OS.H.M</v>
      </c>
      <c r="B1178" s="90">
        <f>PAGE8!$Y$61</f>
        <v>0</v>
      </c>
      <c r="C1178" s="92"/>
    </row>
    <row r="1179" spans="1:3" x14ac:dyDescent="0.35">
      <c r="A1179" s="193" t="str">
        <f>$C$1&amp;".E30A.REM.AR.PVFIN.APPR.L."</f>
        <v>xxxx.E30A.REM.AR.PVFIN.APPR.L.</v>
      </c>
      <c r="B1179" s="90">
        <f>PAGE8!$C$64</f>
        <v>0</v>
      </c>
      <c r="C1179" s="92"/>
    </row>
    <row r="1180" spans="1:3" x14ac:dyDescent="0.35">
      <c r="A1180" s="193" t="str">
        <f>$C$1&amp;".E30A.REM.AR.PVFIN.APPR.H."</f>
        <v>xxxx.E30A.REM.AR.PVFIN.APPR.H.</v>
      </c>
      <c r="B1180" s="90">
        <f>PAGE8!$E$64</f>
        <v>0</v>
      </c>
      <c r="C1180" s="92"/>
    </row>
    <row r="1181" spans="1:3" x14ac:dyDescent="0.35">
      <c r="A1181" s="193" t="str">
        <f>$C$1&amp;".E30A.REM.AR.PVFIN.APPR.L.M"</f>
        <v>xxxx.E30A.REM.AR.PVFIN.APPR.L.M</v>
      </c>
      <c r="B1181" s="90">
        <f>PAGE8!$G$64</f>
        <v>0</v>
      </c>
      <c r="C1181" s="92"/>
    </row>
    <row r="1182" spans="1:3" x14ac:dyDescent="0.35">
      <c r="A1182" s="193" t="str">
        <f>$C$1&amp;".E30A.REM.AR.PVFIN.APPR.H.M"</f>
        <v>xxxx.E30A.REM.AR.PVFIN.APPR.H.M</v>
      </c>
      <c r="B1182" s="90">
        <f>PAGE8!$I$64</f>
        <v>0</v>
      </c>
      <c r="C1182" s="92"/>
    </row>
    <row r="1183" spans="1:3" x14ac:dyDescent="0.35">
      <c r="A1183" s="193" t="str">
        <f>$C$1&amp;".E30A.REM.AR.PVFIN.DISB.L."</f>
        <v>xxxx.E30A.REM.AR.PVFIN.DISB.L.</v>
      </c>
      <c r="B1183" s="90">
        <f>PAGE8!$K$64</f>
        <v>0</v>
      </c>
      <c r="C1183" s="92"/>
    </row>
    <row r="1184" spans="1:3" x14ac:dyDescent="0.35">
      <c r="A1184" s="193" t="str">
        <f>$C$1&amp;".E30A.REM.AR.PVFIN.DISB.H."</f>
        <v>xxxx.E30A.REM.AR.PVFIN.DISB.H.</v>
      </c>
      <c r="B1184" s="90">
        <f>PAGE8!$M$64</f>
        <v>0</v>
      </c>
      <c r="C1184" s="92"/>
    </row>
    <row r="1185" spans="1:3" x14ac:dyDescent="0.35">
      <c r="A1185" s="193" t="str">
        <f>$C$1&amp;".E30A.REM.AR.PVFIN.DISB.L.M"</f>
        <v>xxxx.E30A.REM.AR.PVFIN.DISB.L.M</v>
      </c>
      <c r="B1185" s="90">
        <f>PAGE8!$O$64</f>
        <v>0</v>
      </c>
      <c r="C1185" s="92"/>
    </row>
    <row r="1186" spans="1:3" x14ac:dyDescent="0.35">
      <c r="A1186" s="193" t="str">
        <f>$C$1&amp;".E30A.REM.AR.PVFIN.DISB.H.M"</f>
        <v>xxxx.E30A.REM.AR.PVFIN.DISB.H.M</v>
      </c>
      <c r="B1186" s="90">
        <f>PAGE8!$Q$64</f>
        <v>0</v>
      </c>
      <c r="C1186" s="92"/>
    </row>
    <row r="1187" spans="1:3" x14ac:dyDescent="0.35">
      <c r="A1187" s="193" t="str">
        <f>$C$1&amp;".E30A.REM.AR.PVFIN.OS.L."</f>
        <v>xxxx.E30A.REM.AR.PVFIN.OS.L.</v>
      </c>
      <c r="B1187" s="90">
        <f>PAGE8!$S$64</f>
        <v>0</v>
      </c>
      <c r="C1187" s="92"/>
    </row>
    <row r="1188" spans="1:3" x14ac:dyDescent="0.35">
      <c r="A1188" s="193" t="str">
        <f>$C$1&amp;".E30A.REM.AR.PVFIN.OS.H."</f>
        <v>xxxx.E30A.REM.AR.PVFIN.OS.H.</v>
      </c>
      <c r="B1188" s="90">
        <f>PAGE8!$U$64</f>
        <v>0</v>
      </c>
      <c r="C1188" s="92"/>
    </row>
    <row r="1189" spans="1:3" x14ac:dyDescent="0.35">
      <c r="A1189" s="193" t="str">
        <f>$C$1&amp;".E30A.REM.AR.PVFIN.OS.L.M"</f>
        <v>xxxx.E30A.REM.AR.PVFIN.OS.L.M</v>
      </c>
      <c r="B1189" s="90">
        <f>PAGE8!$W$64</f>
        <v>0</v>
      </c>
      <c r="C1189" s="92"/>
    </row>
    <row r="1190" spans="1:3" x14ac:dyDescent="0.35">
      <c r="A1190" s="193" t="str">
        <f>$C$1&amp;".E30A.REM.AR.PVFIN.OS.H.M"</f>
        <v>xxxx.E30A.REM.AR.PVFIN.OS.H.M</v>
      </c>
      <c r="B1190" s="90">
        <f>PAGE8!$Y$64</f>
        <v>0</v>
      </c>
      <c r="C1190" s="92"/>
    </row>
    <row r="1191" spans="1:3" x14ac:dyDescent="0.35">
      <c r="A1191" s="193" t="str">
        <f>$C$1&amp;".E30A.REM.AR.IBUS.APPR.L."</f>
        <v>xxxx.E30A.REM.AR.IBUS.APPR.L.</v>
      </c>
      <c r="B1191" s="90">
        <f>PAGE8!$C$67</f>
        <v>0</v>
      </c>
      <c r="C1191" s="92"/>
    </row>
    <row r="1192" spans="1:3" x14ac:dyDescent="0.35">
      <c r="A1192" s="193" t="str">
        <f>$C$1&amp;".E30A.REM.AR.IBUS.APPR.H."</f>
        <v>xxxx.E30A.REM.AR.IBUS.APPR.H.</v>
      </c>
      <c r="B1192" s="90">
        <f>PAGE8!$E$67</f>
        <v>0</v>
      </c>
      <c r="C1192" s="92"/>
    </row>
    <row r="1193" spans="1:3" x14ac:dyDescent="0.35">
      <c r="A1193" s="193" t="str">
        <f>$C$1&amp;".E30A.REM.AR.IBUS.APPR.L.M"</f>
        <v>xxxx.E30A.REM.AR.IBUS.APPR.L.M</v>
      </c>
      <c r="B1193" s="90">
        <f>PAGE8!$G$67</f>
        <v>0</v>
      </c>
      <c r="C1193" s="92"/>
    </row>
    <row r="1194" spans="1:3" x14ac:dyDescent="0.35">
      <c r="A1194" s="193" t="str">
        <f>$C$1&amp;".E30A.REM.AR.IBUS.APPR.H.M"</f>
        <v>xxxx.E30A.REM.AR.IBUS.APPR.H.M</v>
      </c>
      <c r="B1194" s="90">
        <f>PAGE8!$I$67</f>
        <v>0</v>
      </c>
      <c r="C1194" s="92"/>
    </row>
    <row r="1195" spans="1:3" x14ac:dyDescent="0.35">
      <c r="A1195" s="193" t="str">
        <f>$C$1&amp;".E30A.REM.AR.IBUS.DISB.L."</f>
        <v>xxxx.E30A.REM.AR.IBUS.DISB.L.</v>
      </c>
      <c r="B1195" s="90">
        <f>PAGE8!$K$67</f>
        <v>0</v>
      </c>
      <c r="C1195" s="92"/>
    </row>
    <row r="1196" spans="1:3" x14ac:dyDescent="0.35">
      <c r="A1196" s="193" t="str">
        <f>$C$1&amp;".E30A.REM.AR.IBUS.DISB.H."</f>
        <v>xxxx.E30A.REM.AR.IBUS.DISB.H.</v>
      </c>
      <c r="B1196" s="90">
        <f>PAGE8!$M$67</f>
        <v>0</v>
      </c>
      <c r="C1196" s="92"/>
    </row>
    <row r="1197" spans="1:3" x14ac:dyDescent="0.35">
      <c r="A1197" s="193" t="str">
        <f>$C$1&amp;".E30A.REM.AR.IBUS.DISB.L.M"</f>
        <v>xxxx.E30A.REM.AR.IBUS.DISB.L.M</v>
      </c>
      <c r="B1197" s="90">
        <f>PAGE8!$O$67</f>
        <v>0</v>
      </c>
      <c r="C1197" s="92"/>
    </row>
    <row r="1198" spans="1:3" x14ac:dyDescent="0.35">
      <c r="A1198" s="193" t="str">
        <f>$C$1&amp;".E30A.REM.AR.IBUS.DISB.H.M"</f>
        <v>xxxx.E30A.REM.AR.IBUS.DISB.H.M</v>
      </c>
      <c r="B1198" s="90">
        <f>PAGE8!$Q$67</f>
        <v>0</v>
      </c>
      <c r="C1198" s="92"/>
    </row>
    <row r="1199" spans="1:3" x14ac:dyDescent="0.35">
      <c r="A1199" s="193" t="str">
        <f>$C$1&amp;".E30A.REM.AR.IBUS.OS.L."</f>
        <v>xxxx.E30A.REM.AR.IBUS.OS.L.</v>
      </c>
      <c r="B1199" s="90">
        <f>PAGE8!$S$67</f>
        <v>0</v>
      </c>
      <c r="C1199" s="92"/>
    </row>
    <row r="1200" spans="1:3" x14ac:dyDescent="0.35">
      <c r="A1200" s="193" t="str">
        <f>$C$1&amp;".E30A.REM.AR.IBUS.OS.H."</f>
        <v>xxxx.E30A.REM.AR.IBUS.OS.H.</v>
      </c>
      <c r="B1200" s="90">
        <f>PAGE8!$U$67</f>
        <v>0</v>
      </c>
      <c r="C1200" s="92"/>
    </row>
    <row r="1201" spans="1:3" x14ac:dyDescent="0.35">
      <c r="A1201" s="193" t="str">
        <f>$C$1&amp;".E30A.REM.AR.IBUS.OS.L.M"</f>
        <v>xxxx.E30A.REM.AR.IBUS.OS.L.M</v>
      </c>
      <c r="B1201" s="90">
        <f>PAGE8!$W$67</f>
        <v>0</v>
      </c>
      <c r="C1201" s="92"/>
    </row>
    <row r="1202" spans="1:3" x14ac:dyDescent="0.35">
      <c r="A1202" s="193" t="str">
        <f>$C$1&amp;".E30A.REM.AR.IBUS.OS.H.M"</f>
        <v>xxxx.E30A.REM.AR.IBUS.OS.H.M</v>
      </c>
      <c r="B1202" s="90">
        <f>PAGE8!$Y$67</f>
        <v>0</v>
      </c>
      <c r="C1202" s="92"/>
    </row>
    <row r="1203" spans="1:3" x14ac:dyDescent="0.35">
      <c r="A1203" s="193" t="str">
        <f>$C$1&amp;".E30A.REM.AR.UIBUS.APPR.L."</f>
        <v>xxxx.E30A.REM.AR.UIBUS.APPR.L.</v>
      </c>
      <c r="B1203" s="90">
        <f>PAGE8!$C$70</f>
        <v>0</v>
      </c>
      <c r="C1203" s="92"/>
    </row>
    <row r="1204" spans="1:3" x14ac:dyDescent="0.35">
      <c r="A1204" s="193" t="str">
        <f>$C$1&amp;".E30A.REM.AR.UIBUS.APPR.H."</f>
        <v>xxxx.E30A.REM.AR.UIBUS.APPR.H.</v>
      </c>
      <c r="B1204" s="90">
        <f>PAGE8!$E$70</f>
        <v>0</v>
      </c>
      <c r="C1204" s="92"/>
    </row>
    <row r="1205" spans="1:3" x14ac:dyDescent="0.35">
      <c r="A1205" s="193" t="str">
        <f>$C$1&amp;".E30A.REM.AR.UIBUS.APPR.L.M"</f>
        <v>xxxx.E30A.REM.AR.UIBUS.APPR.L.M</v>
      </c>
      <c r="B1205" s="90">
        <f>PAGE8!$G$70</f>
        <v>0</v>
      </c>
      <c r="C1205" s="92"/>
    </row>
    <row r="1206" spans="1:3" x14ac:dyDescent="0.35">
      <c r="A1206" s="193" t="str">
        <f>$C$1&amp;".E30A.REM.AR.UIBUS.APPR.H.M"</f>
        <v>xxxx.E30A.REM.AR.UIBUS.APPR.H.M</v>
      </c>
      <c r="B1206" s="90">
        <f>PAGE8!$I$70</f>
        <v>0</v>
      </c>
      <c r="C1206" s="92"/>
    </row>
    <row r="1207" spans="1:3" x14ac:dyDescent="0.35">
      <c r="A1207" s="193" t="str">
        <f>$C$1&amp;".E30A.REM.AR.UIBUS.DISB.L."</f>
        <v>xxxx.E30A.REM.AR.UIBUS.DISB.L.</v>
      </c>
      <c r="B1207" s="90">
        <f>PAGE8!$K$70</f>
        <v>0</v>
      </c>
      <c r="C1207" s="92"/>
    </row>
    <row r="1208" spans="1:3" x14ac:dyDescent="0.35">
      <c r="A1208" s="193" t="str">
        <f>$C$1&amp;".E30A.REM.AR.UIBUS.DISB.H."</f>
        <v>xxxx.E30A.REM.AR.UIBUS.DISB.H.</v>
      </c>
      <c r="B1208" s="90">
        <f>PAGE8!$M$70</f>
        <v>0</v>
      </c>
      <c r="C1208" s="92"/>
    </row>
    <row r="1209" spans="1:3" x14ac:dyDescent="0.35">
      <c r="A1209" s="193" t="str">
        <f>$C$1&amp;".E30A.REM.AR.UIBUS.DISB.L.M"</f>
        <v>xxxx.E30A.REM.AR.UIBUS.DISB.L.M</v>
      </c>
      <c r="B1209" s="90">
        <f>PAGE8!$O$70</f>
        <v>0</v>
      </c>
      <c r="C1209" s="92"/>
    </row>
    <row r="1210" spans="1:3" x14ac:dyDescent="0.35">
      <c r="A1210" s="193" t="str">
        <f>$C$1&amp;".E30A.REM.AR.UIBUS.DISB.H.M"</f>
        <v>xxxx.E30A.REM.AR.UIBUS.DISB.H.M</v>
      </c>
      <c r="B1210" s="90">
        <f>PAGE8!$Q$70</f>
        <v>0</v>
      </c>
      <c r="C1210" s="92"/>
    </row>
    <row r="1211" spans="1:3" x14ac:dyDescent="0.35">
      <c r="A1211" s="193" t="str">
        <f>$C$1&amp;".E30A.REM.AR.UIBUS.OS.L."</f>
        <v>xxxx.E30A.REM.AR.UIBUS.OS.L.</v>
      </c>
      <c r="B1211" s="90">
        <f>PAGE8!$S$70</f>
        <v>0</v>
      </c>
      <c r="C1211" s="92"/>
    </row>
    <row r="1212" spans="1:3" x14ac:dyDescent="0.35">
      <c r="A1212" s="193" t="str">
        <f>$C$1&amp;".E30A.REM.AR.UIBUS.OS.H."</f>
        <v>xxxx.E30A.REM.AR.UIBUS.OS.H.</v>
      </c>
      <c r="B1212" s="90">
        <f>PAGE8!$U$70</f>
        <v>0</v>
      </c>
      <c r="C1212" s="92"/>
    </row>
    <row r="1213" spans="1:3" x14ac:dyDescent="0.35">
      <c r="A1213" s="193" t="str">
        <f>$C$1&amp;".E30A.REM.AR.UIBUS.OS.L.M"</f>
        <v>xxxx.E30A.REM.AR.UIBUS.OS.L.M</v>
      </c>
      <c r="B1213" s="90">
        <f>PAGE8!$W$70</f>
        <v>0</v>
      </c>
      <c r="C1213" s="92"/>
    </row>
    <row r="1214" spans="1:3" x14ac:dyDescent="0.35">
      <c r="A1214" s="193" t="str">
        <f>$C$1&amp;".E30A.REM.AR.UIBUS.OS.H.M"</f>
        <v>xxxx.E30A.REM.AR.UIBUS.OS.H.M</v>
      </c>
      <c r="B1214" s="90">
        <f>PAGE8!$Y$70</f>
        <v>0</v>
      </c>
      <c r="C1214" s="92"/>
    </row>
    <row r="1215" spans="1:3" x14ac:dyDescent="0.35">
      <c r="A1215" s="193" t="str">
        <f>$C$1&amp;".E30A.REM.AR.CONSM.APPR.L."</f>
        <v>xxxx.E30A.REM.AR.CONSM.APPR.L.</v>
      </c>
      <c r="B1215" s="90">
        <f>PAGE8!$C$72</f>
        <v>0</v>
      </c>
      <c r="C1215" s="92"/>
    </row>
    <row r="1216" spans="1:3" x14ac:dyDescent="0.35">
      <c r="A1216" s="193" t="str">
        <f>$C$1&amp;".E30A.REM.AR.CONSM.APPR.H."</f>
        <v>xxxx.E30A.REM.AR.CONSM.APPR.H.</v>
      </c>
      <c r="B1216" s="90">
        <f>PAGE8!$E$72</f>
        <v>0</v>
      </c>
      <c r="C1216" s="92"/>
    </row>
    <row r="1217" spans="1:3" x14ac:dyDescent="0.35">
      <c r="A1217" s="193" t="str">
        <f>$C$1&amp;".E30A.REM.AR.CONSM.APPR.L.M"</f>
        <v>xxxx.E30A.REM.AR.CONSM.APPR.L.M</v>
      </c>
      <c r="B1217" s="90">
        <f>PAGE8!$G$72</f>
        <v>0</v>
      </c>
      <c r="C1217" s="92"/>
    </row>
    <row r="1218" spans="1:3" x14ac:dyDescent="0.35">
      <c r="A1218" s="193" t="str">
        <f>$C$1&amp;".E30A.REM.AR.CONSM.APPR.H.M"</f>
        <v>xxxx.E30A.REM.AR.CONSM.APPR.H.M</v>
      </c>
      <c r="B1218" s="90">
        <f>PAGE8!$I$72</f>
        <v>0</v>
      </c>
      <c r="C1218" s="92"/>
    </row>
    <row r="1219" spans="1:3" x14ac:dyDescent="0.35">
      <c r="A1219" s="193" t="str">
        <f>$C$1&amp;".E30A.REM.AR.CONSM.DISB.L."</f>
        <v>xxxx.E30A.REM.AR.CONSM.DISB.L.</v>
      </c>
      <c r="B1219" s="90">
        <f>PAGE8!$K$72</f>
        <v>0</v>
      </c>
      <c r="C1219" s="92"/>
    </row>
    <row r="1220" spans="1:3" x14ac:dyDescent="0.35">
      <c r="A1220" s="193" t="str">
        <f>$C$1&amp;".E30A.REM.AR.CONSM.DISB.H."</f>
        <v>xxxx.E30A.REM.AR.CONSM.DISB.H.</v>
      </c>
      <c r="B1220" s="90">
        <f>PAGE8!$M$72</f>
        <v>0</v>
      </c>
      <c r="C1220" s="92"/>
    </row>
    <row r="1221" spans="1:3" x14ac:dyDescent="0.35">
      <c r="A1221" s="193" t="str">
        <f>$C$1&amp;".E30A.REM.AR.CONSM.DISB.L.M"</f>
        <v>xxxx.E30A.REM.AR.CONSM.DISB.L.M</v>
      </c>
      <c r="B1221" s="90">
        <f>PAGE8!$O$72</f>
        <v>0</v>
      </c>
      <c r="C1221" s="92"/>
    </row>
    <row r="1222" spans="1:3" x14ac:dyDescent="0.35">
      <c r="A1222" s="193" t="str">
        <f>$C$1&amp;".E30A.REM.AR.CONSM.DISB.H.M"</f>
        <v>xxxx.E30A.REM.AR.CONSM.DISB.H.M</v>
      </c>
      <c r="B1222" s="90">
        <f>PAGE8!$Q$72</f>
        <v>0</v>
      </c>
      <c r="C1222" s="92"/>
    </row>
    <row r="1223" spans="1:3" x14ac:dyDescent="0.35">
      <c r="A1223" s="193" t="str">
        <f>$C$1&amp;".E30A.REM.AR.CONSM.OS.L."</f>
        <v>xxxx.E30A.REM.AR.CONSM.OS.L.</v>
      </c>
      <c r="B1223" s="90">
        <f>PAGE8!$S$72</f>
        <v>0</v>
      </c>
      <c r="C1223" s="92"/>
    </row>
    <row r="1224" spans="1:3" x14ac:dyDescent="0.35">
      <c r="A1224" s="193" t="str">
        <f>$C$1&amp;".E30A.REM.AR.CONSM.OS.H."</f>
        <v>xxxx.E30A.REM.AR.CONSM.OS.H.</v>
      </c>
      <c r="B1224" s="90">
        <f>PAGE8!$U$72</f>
        <v>0</v>
      </c>
      <c r="C1224" s="92"/>
    </row>
    <row r="1225" spans="1:3" x14ac:dyDescent="0.35">
      <c r="A1225" s="193" t="str">
        <f>$C$1&amp;".E30A.REM.AR.CONSM.OS.L.M"</f>
        <v>xxxx.E30A.REM.AR.CONSM.OS.L.M</v>
      </c>
      <c r="B1225" s="90">
        <f>PAGE8!$W$72</f>
        <v>0</v>
      </c>
      <c r="C1225" s="92"/>
    </row>
    <row r="1226" spans="1:3" x14ac:dyDescent="0.35">
      <c r="A1226" s="193" t="str">
        <f>$C$1&amp;".E30A.REM.AR.CONSM.OS.H.M"</f>
        <v>xxxx.E30A.REM.AR.CONSM.OS.H.M</v>
      </c>
      <c r="B1226" s="90">
        <f>PAGE8!$Y$72</f>
        <v>0</v>
      </c>
      <c r="C1226" s="92"/>
    </row>
    <row r="1227" spans="1:3" x14ac:dyDescent="0.35">
      <c r="A1227" s="195" t="s">
        <v>803</v>
      </c>
      <c r="B1227" s="93" t="s">
        <v>700</v>
      </c>
      <c r="C1227" s="93"/>
    </row>
    <row r="1228" spans="1:3" x14ac:dyDescent="0.35">
      <c r="A1228" s="193" t="str">
        <f>$C$1&amp;".E30A.TR_FNDS.RE_MRTG_LNS_NRES.."</f>
        <v>xxxx.E30A.TR_FNDS.RE_MRTG_LNS_NRES..</v>
      </c>
      <c r="B1228" s="92">
        <f>PAGE9!I13</f>
        <v>0</v>
      </c>
    </row>
    <row r="1229" spans="1:3" x14ac:dyDescent="0.35">
      <c r="A1229" s="193" t="str">
        <f>$C$1&amp;".E30A.TR_FNDS.RE_MRTG_LNS_RES.."</f>
        <v>xxxx.E30A.TR_FNDS.RE_MRTG_LNS_RES..</v>
      </c>
      <c r="B1229" s="92">
        <f>PAGE9!I15</f>
        <v>0</v>
      </c>
    </row>
    <row r="1230" spans="1:3" x14ac:dyDescent="0.35">
      <c r="A1230" s="193" t="str">
        <f>$C$1&amp;".E30A.TR_FNDS.RE_MRTG_LNS_TTL.."</f>
        <v>xxxx.E30A.TR_FNDS.RE_MRTG_LNS_TTL..</v>
      </c>
      <c r="B1230" s="92">
        <f>PAGE9!I17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2:X101"/>
  <sheetViews>
    <sheetView showGridLines="0" tabSelected="1" workbookViewId="0">
      <selection activeCell="C11" sqref="C11:I11"/>
    </sheetView>
  </sheetViews>
  <sheetFormatPr defaultColWidth="8.8984375" defaultRowHeight="10.5" x14ac:dyDescent="0.25"/>
  <cols>
    <col min="1" max="1" width="2" style="110" customWidth="1"/>
    <col min="2" max="2" width="18.09765625" style="110" customWidth="1"/>
    <col min="3" max="3" width="14.09765625" style="108" customWidth="1"/>
    <col min="4" max="4" width="1.69921875" style="110" customWidth="1"/>
    <col min="5" max="5" width="9.69921875" style="108" customWidth="1"/>
    <col min="6" max="6" width="1.69921875" style="110" customWidth="1"/>
    <col min="7" max="7" width="5.8984375" style="108" customWidth="1"/>
    <col min="8" max="8" width="1.69921875" style="110" customWidth="1"/>
    <col min="9" max="9" width="9.69921875" style="108" customWidth="1"/>
    <col min="10" max="10" width="1.69921875" style="110" customWidth="1"/>
    <col min="11" max="11" width="5.8984375" style="108" customWidth="1"/>
    <col min="12" max="12" width="1.69921875" style="110" customWidth="1"/>
    <col min="13" max="13" width="9.69921875" style="108" customWidth="1"/>
    <col min="14" max="14" width="1.69921875" style="110" customWidth="1"/>
    <col min="15" max="15" width="5.8984375" style="108" customWidth="1"/>
    <col min="16" max="16" width="1.69921875" style="110" customWidth="1"/>
    <col min="17" max="17" width="10.69921875" style="108" customWidth="1"/>
    <col min="18" max="16384" width="8.8984375" style="110"/>
  </cols>
  <sheetData>
    <row r="2" spans="1:17" x14ac:dyDescent="0.25">
      <c r="A2" s="106"/>
      <c r="B2" s="107"/>
      <c r="D2" s="107"/>
      <c r="F2" s="107"/>
      <c r="H2" s="107"/>
      <c r="J2" s="109"/>
      <c r="L2" s="107"/>
      <c r="N2" s="107"/>
      <c r="P2" s="107"/>
      <c r="Q2" s="108" t="s">
        <v>733</v>
      </c>
    </row>
    <row r="3" spans="1:17" x14ac:dyDescent="0.25">
      <c r="A3" s="106"/>
      <c r="B3" s="107"/>
      <c r="D3" s="107"/>
      <c r="F3" s="107"/>
      <c r="H3" s="107"/>
      <c r="J3" s="107"/>
      <c r="L3" s="107"/>
      <c r="N3" s="107"/>
      <c r="P3" s="107"/>
    </row>
    <row r="4" spans="1:17" x14ac:dyDescent="0.25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x14ac:dyDescent="0.25">
      <c r="A5" s="111"/>
      <c r="B5" s="107"/>
      <c r="D5" s="107"/>
      <c r="F5" s="107"/>
      <c r="H5" s="107"/>
      <c r="J5" s="107"/>
      <c r="L5" s="107"/>
      <c r="N5" s="107"/>
      <c r="P5" s="107"/>
    </row>
    <row r="6" spans="1:17" x14ac:dyDescent="0.25">
      <c r="A6" s="209" t="s">
        <v>734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x14ac:dyDescent="0.25">
      <c r="A7" s="111"/>
      <c r="B7" s="107"/>
      <c r="D7" s="107"/>
      <c r="F7" s="107"/>
      <c r="H7" s="107"/>
      <c r="J7" s="107"/>
      <c r="L7" s="107"/>
      <c r="N7" s="107"/>
      <c r="P7" s="107"/>
    </row>
    <row r="8" spans="1:17" x14ac:dyDescent="0.25">
      <c r="A8" s="209" t="s">
        <v>735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</row>
    <row r="9" spans="1:17" ht="16.5" customHeight="1" x14ac:dyDescent="0.25"/>
    <row r="10" spans="1:17" ht="16.5" customHeight="1" x14ac:dyDescent="0.25"/>
    <row r="11" spans="1:17" ht="13" x14ac:dyDescent="0.35">
      <c r="A11" s="74"/>
      <c r="B11" s="112" t="s">
        <v>732</v>
      </c>
      <c r="C11" s="208" t="s">
        <v>719</v>
      </c>
      <c r="D11" s="208"/>
      <c r="E11" s="208"/>
      <c r="F11" s="208"/>
      <c r="G11" s="208"/>
      <c r="H11" s="208"/>
      <c r="I11" s="208"/>
      <c r="J11" s="113"/>
      <c r="K11" s="114"/>
      <c r="L11" s="74"/>
      <c r="M11" s="115"/>
    </row>
    <row r="12" spans="1:17" ht="13" x14ac:dyDescent="0.35">
      <c r="A12" s="74"/>
      <c r="B12" s="112"/>
      <c r="C12" s="115"/>
      <c r="E12" s="114"/>
      <c r="F12" s="113"/>
      <c r="K12" s="114"/>
      <c r="L12" s="74"/>
      <c r="M12" s="115"/>
    </row>
    <row r="13" spans="1:17" ht="13" x14ac:dyDescent="0.35">
      <c r="A13" s="74"/>
      <c r="B13" s="116" t="s">
        <v>1</v>
      </c>
      <c r="C13" s="81" t="s">
        <v>762</v>
      </c>
      <c r="D13" s="117"/>
      <c r="E13" s="117"/>
      <c r="F13" s="113"/>
      <c r="K13" s="114"/>
      <c r="L13" s="74"/>
      <c r="M13" s="115"/>
    </row>
    <row r="14" spans="1:17" ht="6" customHeight="1" x14ac:dyDescent="0.35">
      <c r="A14" s="74"/>
      <c r="B14" s="116"/>
      <c r="C14" s="115"/>
      <c r="E14" s="114"/>
      <c r="F14" s="113"/>
      <c r="K14" s="114"/>
      <c r="L14" s="74"/>
      <c r="M14" s="115"/>
    </row>
    <row r="15" spans="1:17" ht="12.75" customHeight="1" x14ac:dyDescent="0.25">
      <c r="B15" s="116" t="s">
        <v>2</v>
      </c>
      <c r="C15" s="81" t="s">
        <v>804</v>
      </c>
    </row>
    <row r="16" spans="1:17" ht="5.25" customHeight="1" x14ac:dyDescent="0.25">
      <c r="B16" s="116"/>
      <c r="C16" s="115"/>
    </row>
    <row r="17" spans="1:17" ht="15" customHeight="1" x14ac:dyDescent="0.25">
      <c r="B17" s="112" t="s">
        <v>3</v>
      </c>
      <c r="C17" s="81">
        <v>13</v>
      </c>
    </row>
    <row r="18" spans="1:17" x14ac:dyDescent="0.25">
      <c r="B18" s="112"/>
      <c r="C18" s="115"/>
    </row>
    <row r="19" spans="1:17" x14ac:dyDescent="0.25">
      <c r="C19" s="114" t="s">
        <v>4</v>
      </c>
      <c r="D19" s="118"/>
      <c r="F19" s="107"/>
      <c r="G19" s="114" t="s">
        <v>111</v>
      </c>
      <c r="H19" s="118"/>
      <c r="J19" s="107"/>
      <c r="K19" s="114" t="s">
        <v>110</v>
      </c>
      <c r="L19" s="118"/>
      <c r="N19" s="107"/>
      <c r="O19" s="114" t="s">
        <v>103</v>
      </c>
      <c r="P19" s="118"/>
    </row>
    <row r="20" spans="1:17" x14ac:dyDescent="0.25">
      <c r="A20" s="119" t="s">
        <v>5</v>
      </c>
      <c r="B20" s="119" t="s">
        <v>6</v>
      </c>
      <c r="C20" s="114" t="s">
        <v>7</v>
      </c>
      <c r="D20" s="118"/>
      <c r="F20" s="107"/>
      <c r="G20" s="114" t="s">
        <v>8</v>
      </c>
      <c r="H20" s="118"/>
      <c r="J20" s="107"/>
      <c r="K20" s="114" t="s">
        <v>8</v>
      </c>
      <c r="L20" s="118"/>
      <c r="N20" s="107"/>
      <c r="O20" s="114" t="s">
        <v>9</v>
      </c>
      <c r="P20" s="118"/>
    </row>
    <row r="21" spans="1:17" x14ac:dyDescent="0.25">
      <c r="C21" s="114" t="s">
        <v>10</v>
      </c>
      <c r="D21" s="118"/>
      <c r="F21" s="107"/>
      <c r="G21" s="114" t="s">
        <v>11</v>
      </c>
      <c r="H21" s="118"/>
      <c r="J21" s="107"/>
      <c r="K21" s="114" t="s">
        <v>11</v>
      </c>
      <c r="L21" s="118"/>
      <c r="N21" s="107"/>
      <c r="O21" s="114" t="s">
        <v>12</v>
      </c>
      <c r="P21" s="118"/>
    </row>
    <row r="23" spans="1:17" x14ac:dyDescent="0.25">
      <c r="C23" s="108" t="s">
        <v>13</v>
      </c>
      <c r="D23" s="109"/>
      <c r="E23" s="108" t="s">
        <v>14</v>
      </c>
      <c r="F23" s="109"/>
      <c r="G23" s="108" t="s">
        <v>13</v>
      </c>
      <c r="H23" s="109"/>
      <c r="I23" s="108" t="s">
        <v>14</v>
      </c>
      <c r="J23" s="109"/>
      <c r="K23" s="108" t="s">
        <v>13</v>
      </c>
      <c r="L23" s="109"/>
      <c r="M23" s="108" t="s">
        <v>14</v>
      </c>
      <c r="N23" s="109"/>
      <c r="O23" s="108" t="s">
        <v>13</v>
      </c>
      <c r="P23" s="109"/>
      <c r="Q23" s="108" t="s">
        <v>14</v>
      </c>
    </row>
    <row r="24" spans="1:17" x14ac:dyDescent="0.25">
      <c r="D24" s="109"/>
      <c r="E24" s="120" t="s">
        <v>15</v>
      </c>
      <c r="F24" s="121"/>
      <c r="H24" s="109"/>
      <c r="I24" s="120" t="s">
        <v>15</v>
      </c>
      <c r="J24" s="121"/>
      <c r="L24" s="109"/>
      <c r="M24" s="120" t="s">
        <v>15</v>
      </c>
      <c r="N24" s="121"/>
      <c r="P24" s="109"/>
      <c r="Q24" s="120" t="s">
        <v>15</v>
      </c>
    </row>
    <row r="25" spans="1:17" x14ac:dyDescent="0.25">
      <c r="D25" s="109"/>
      <c r="F25" s="109"/>
      <c r="H25" s="109"/>
      <c r="J25" s="109"/>
      <c r="L25" s="109"/>
      <c r="N25" s="109"/>
      <c r="P25" s="109"/>
    </row>
    <row r="26" spans="1:17" ht="13.5" thickBot="1" x14ac:dyDescent="0.4">
      <c r="A26" s="110" t="s">
        <v>16</v>
      </c>
      <c r="B26" s="122" t="s">
        <v>17</v>
      </c>
      <c r="C26" s="102">
        <f>SUM(C27:C38)</f>
        <v>0</v>
      </c>
      <c r="D26" s="103"/>
      <c r="E26" s="102">
        <f>SUM(E27:E38)</f>
        <v>0</v>
      </c>
      <c r="F26" s="103"/>
      <c r="G26" s="102">
        <f>SUM(G27:G38)</f>
        <v>0</v>
      </c>
      <c r="H26" s="103"/>
      <c r="I26" s="102">
        <f>SUM(I27:I38)</f>
        <v>0</v>
      </c>
      <c r="J26" s="103"/>
      <c r="K26" s="102">
        <f>SUM(K27:K38)</f>
        <v>0</v>
      </c>
      <c r="L26" s="104"/>
      <c r="M26" s="102">
        <f>SUM(M27:M38)</f>
        <v>0</v>
      </c>
      <c r="N26" s="104"/>
      <c r="O26" s="102">
        <f>SUM(O27:O38)</f>
        <v>0</v>
      </c>
      <c r="P26" s="104"/>
      <c r="Q26" s="102">
        <f>SUM(Q27:Q38)</f>
        <v>0</v>
      </c>
    </row>
    <row r="27" spans="1:17" ht="13" x14ac:dyDescent="0.35">
      <c r="B27" s="110" t="s">
        <v>109</v>
      </c>
      <c r="C27" s="81"/>
      <c r="D27" s="123"/>
      <c r="E27" s="81"/>
      <c r="F27" s="123"/>
      <c r="G27" s="81"/>
      <c r="H27" s="123"/>
      <c r="I27" s="81"/>
      <c r="J27" s="123"/>
      <c r="K27" s="81"/>
      <c r="L27" s="123"/>
      <c r="M27" s="81"/>
      <c r="N27" s="74"/>
      <c r="O27" s="81"/>
      <c r="P27" s="123"/>
      <c r="Q27" s="81"/>
    </row>
    <row r="28" spans="1:17" ht="13" x14ac:dyDescent="0.35">
      <c r="B28" s="110" t="s">
        <v>736</v>
      </c>
      <c r="C28" s="81"/>
      <c r="D28" s="123"/>
      <c r="E28" s="81"/>
      <c r="F28" s="123"/>
      <c r="G28" s="81"/>
      <c r="H28" s="123"/>
      <c r="I28" s="81"/>
      <c r="J28" s="123"/>
      <c r="K28" s="81"/>
      <c r="L28" s="123"/>
      <c r="M28" s="81"/>
      <c r="N28" s="74"/>
      <c r="O28" s="81"/>
      <c r="P28" s="123"/>
      <c r="Q28" s="81"/>
    </row>
    <row r="29" spans="1:17" ht="13" x14ac:dyDescent="0.35">
      <c r="B29" s="110" t="s">
        <v>737</v>
      </c>
      <c r="C29" s="81"/>
      <c r="D29" s="123"/>
      <c r="E29" s="81"/>
      <c r="F29" s="123"/>
      <c r="G29" s="81"/>
      <c r="H29" s="123"/>
      <c r="I29" s="81"/>
      <c r="J29" s="123"/>
      <c r="K29" s="81"/>
      <c r="L29" s="123"/>
      <c r="M29" s="81"/>
      <c r="N29" s="74"/>
      <c r="O29" s="81"/>
      <c r="P29" s="123"/>
      <c r="Q29" s="81"/>
    </row>
    <row r="30" spans="1:17" ht="13" x14ac:dyDescent="0.35">
      <c r="B30" s="110" t="s">
        <v>738</v>
      </c>
      <c r="C30" s="81"/>
      <c r="D30" s="123"/>
      <c r="E30" s="81"/>
      <c r="F30" s="123"/>
      <c r="G30" s="81"/>
      <c r="H30" s="123"/>
      <c r="I30" s="81"/>
      <c r="J30" s="123"/>
      <c r="K30" s="81"/>
      <c r="L30" s="123"/>
      <c r="M30" s="81"/>
      <c r="N30" s="74"/>
      <c r="O30" s="81"/>
      <c r="P30" s="123"/>
      <c r="Q30" s="81"/>
    </row>
    <row r="31" spans="1:17" ht="13" x14ac:dyDescent="0.35">
      <c r="B31" s="110" t="s">
        <v>739</v>
      </c>
      <c r="C31" s="81"/>
      <c r="D31" s="123"/>
      <c r="E31" s="81"/>
      <c r="F31" s="123"/>
      <c r="G31" s="81"/>
      <c r="H31" s="123"/>
      <c r="I31" s="81"/>
      <c r="J31" s="123"/>
      <c r="K31" s="81"/>
      <c r="L31" s="123"/>
      <c r="M31" s="81"/>
      <c r="N31" s="74"/>
      <c r="O31" s="81"/>
      <c r="P31" s="123"/>
      <c r="Q31" s="81"/>
    </row>
    <row r="32" spans="1:17" ht="13" x14ac:dyDescent="0.35">
      <c r="B32" s="110" t="s">
        <v>740</v>
      </c>
      <c r="C32" s="81"/>
      <c r="D32" s="123"/>
      <c r="E32" s="81"/>
      <c r="F32" s="123"/>
      <c r="G32" s="81"/>
      <c r="H32" s="123"/>
      <c r="I32" s="81"/>
      <c r="J32" s="123"/>
      <c r="K32" s="81"/>
      <c r="L32" s="123"/>
      <c r="M32" s="81"/>
      <c r="N32" s="74"/>
      <c r="O32" s="81"/>
      <c r="P32" s="123"/>
      <c r="Q32" s="81"/>
    </row>
    <row r="33" spans="1:17" ht="13" x14ac:dyDescent="0.35">
      <c r="B33" s="110" t="s">
        <v>741</v>
      </c>
      <c r="C33" s="81"/>
      <c r="D33" s="123"/>
      <c r="E33" s="81"/>
      <c r="F33" s="123"/>
      <c r="G33" s="81"/>
      <c r="H33" s="123"/>
      <c r="I33" s="81"/>
      <c r="J33" s="123"/>
      <c r="K33" s="81"/>
      <c r="L33" s="123"/>
      <c r="M33" s="81"/>
      <c r="N33" s="74"/>
      <c r="O33" s="81"/>
      <c r="P33" s="123"/>
      <c r="Q33" s="81"/>
    </row>
    <row r="34" spans="1:17" ht="13" x14ac:dyDescent="0.35">
      <c r="B34" s="110" t="s">
        <v>742</v>
      </c>
      <c r="C34" s="81"/>
      <c r="D34" s="123"/>
      <c r="E34" s="81"/>
      <c r="F34" s="123"/>
      <c r="G34" s="81"/>
      <c r="H34" s="123"/>
      <c r="I34" s="81"/>
      <c r="J34" s="123"/>
      <c r="K34" s="81"/>
      <c r="L34" s="123"/>
      <c r="M34" s="81"/>
      <c r="N34" s="74"/>
      <c r="O34" s="81"/>
      <c r="P34" s="123"/>
      <c r="Q34" s="81"/>
    </row>
    <row r="35" spans="1:17" ht="13" x14ac:dyDescent="0.35">
      <c r="B35" s="110" t="s">
        <v>743</v>
      </c>
      <c r="C35" s="81"/>
      <c r="D35" s="123"/>
      <c r="E35" s="81"/>
      <c r="F35" s="123"/>
      <c r="G35" s="81"/>
      <c r="H35" s="123"/>
      <c r="I35" s="81"/>
      <c r="J35" s="123"/>
      <c r="K35" s="81"/>
      <c r="L35" s="123"/>
      <c r="M35" s="81"/>
      <c r="N35" s="74"/>
      <c r="O35" s="81"/>
      <c r="P35" s="123"/>
      <c r="Q35" s="81"/>
    </row>
    <row r="36" spans="1:17" ht="13" x14ac:dyDescent="0.35">
      <c r="B36" s="110" t="s">
        <v>744</v>
      </c>
      <c r="C36" s="81"/>
      <c r="D36" s="123"/>
      <c r="E36" s="81"/>
      <c r="F36" s="123"/>
      <c r="G36" s="81"/>
      <c r="H36" s="123"/>
      <c r="I36" s="81"/>
      <c r="J36" s="123"/>
      <c r="K36" s="81"/>
      <c r="L36" s="123"/>
      <c r="M36" s="81"/>
      <c r="N36" s="74"/>
      <c r="O36" s="81"/>
      <c r="P36" s="123"/>
      <c r="Q36" s="81"/>
    </row>
    <row r="37" spans="1:17" ht="13" x14ac:dyDescent="0.35">
      <c r="B37" s="110" t="s">
        <v>745</v>
      </c>
      <c r="C37" s="81"/>
      <c r="D37" s="123"/>
      <c r="E37" s="81"/>
      <c r="F37" s="123"/>
      <c r="G37" s="81"/>
      <c r="H37" s="123"/>
      <c r="I37" s="81"/>
      <c r="J37" s="123"/>
      <c r="K37" s="81"/>
      <c r="L37" s="123"/>
      <c r="M37" s="81"/>
      <c r="N37" s="74"/>
      <c r="O37" s="81"/>
      <c r="P37" s="123"/>
      <c r="Q37" s="81"/>
    </row>
    <row r="38" spans="1:17" ht="13" x14ac:dyDescent="0.35">
      <c r="B38" s="110" t="s">
        <v>116</v>
      </c>
      <c r="C38" s="81"/>
      <c r="D38" s="123"/>
      <c r="E38" s="81"/>
      <c r="F38" s="123"/>
      <c r="G38" s="81"/>
      <c r="H38" s="123"/>
      <c r="I38" s="81"/>
      <c r="J38" s="123"/>
      <c r="K38" s="81"/>
      <c r="L38" s="123"/>
      <c r="M38" s="81"/>
      <c r="N38" s="74"/>
      <c r="O38" s="81"/>
      <c r="P38" s="123"/>
      <c r="Q38" s="81"/>
    </row>
    <row r="39" spans="1:17" x14ac:dyDescent="0.25">
      <c r="D39" s="109"/>
      <c r="F39" s="109"/>
      <c r="H39" s="109"/>
      <c r="J39" s="109"/>
      <c r="L39" s="109"/>
      <c r="N39" s="109"/>
      <c r="P39" s="109"/>
    </row>
    <row r="40" spans="1:17" ht="12" customHeight="1" x14ac:dyDescent="0.25">
      <c r="A40" s="110" t="s">
        <v>18</v>
      </c>
      <c r="B40" s="122" t="s">
        <v>19</v>
      </c>
      <c r="C40" s="115"/>
      <c r="D40" s="123"/>
      <c r="E40" s="115"/>
      <c r="F40" s="123"/>
      <c r="G40" s="115"/>
      <c r="H40" s="123"/>
      <c r="I40" s="115"/>
      <c r="J40" s="123"/>
      <c r="K40" s="115"/>
      <c r="L40" s="123"/>
      <c r="M40" s="115"/>
      <c r="N40" s="123"/>
      <c r="O40" s="115"/>
      <c r="P40" s="123"/>
      <c r="Q40" s="115"/>
    </row>
    <row r="41" spans="1:17" ht="13.5" thickBot="1" x14ac:dyDescent="0.4">
      <c r="B41" s="122" t="s">
        <v>128</v>
      </c>
      <c r="C41" s="102">
        <f>SUM(C42:C53)</f>
        <v>0</v>
      </c>
      <c r="D41" s="103"/>
      <c r="E41" s="102">
        <f>SUM(E42:E53)</f>
        <v>0</v>
      </c>
      <c r="F41" s="103"/>
      <c r="G41" s="102">
        <f>SUM(G42:G53)</f>
        <v>0</v>
      </c>
      <c r="H41" s="103"/>
      <c r="I41" s="102">
        <f>SUM(I42:I53)</f>
        <v>0</v>
      </c>
      <c r="J41" s="103"/>
      <c r="K41" s="102">
        <f>SUM(K42:K53)</f>
        <v>0</v>
      </c>
      <c r="L41" s="104"/>
      <c r="M41" s="102">
        <f>SUM(M42:M53)</f>
        <v>0</v>
      </c>
      <c r="N41" s="104"/>
      <c r="O41" s="102">
        <f>SUM(O42:O53)</f>
        <v>0</v>
      </c>
      <c r="P41" s="104"/>
      <c r="Q41" s="102">
        <f>SUM(Q42:Q53)</f>
        <v>0</v>
      </c>
    </row>
    <row r="42" spans="1:17" ht="13" x14ac:dyDescent="0.35">
      <c r="B42" s="110" t="s">
        <v>109</v>
      </c>
      <c r="C42" s="65"/>
      <c r="D42" s="74"/>
      <c r="E42" s="65"/>
      <c r="F42" s="74"/>
      <c r="G42" s="65"/>
      <c r="H42" s="74"/>
      <c r="I42" s="65"/>
      <c r="J42" s="74"/>
      <c r="K42" s="65"/>
      <c r="L42" s="74"/>
      <c r="M42" s="65"/>
      <c r="N42" s="74"/>
      <c r="O42" s="65"/>
      <c r="P42" s="74"/>
      <c r="Q42" s="65"/>
    </row>
    <row r="43" spans="1:17" ht="13" x14ac:dyDescent="0.35">
      <c r="B43" s="110" t="s">
        <v>736</v>
      </c>
      <c r="C43" s="65"/>
      <c r="D43" s="74"/>
      <c r="E43" s="65"/>
      <c r="F43" s="74"/>
      <c r="G43" s="65"/>
      <c r="H43" s="74"/>
      <c r="I43" s="65"/>
      <c r="J43" s="74"/>
      <c r="K43" s="65"/>
      <c r="L43" s="74"/>
      <c r="M43" s="65"/>
      <c r="N43" s="74"/>
      <c r="O43" s="65"/>
      <c r="P43" s="74"/>
      <c r="Q43" s="65"/>
    </row>
    <row r="44" spans="1:17" ht="13" x14ac:dyDescent="0.35">
      <c r="B44" s="110" t="s">
        <v>737</v>
      </c>
      <c r="C44" s="65"/>
      <c r="D44" s="74"/>
      <c r="E44" s="65"/>
      <c r="F44" s="74"/>
      <c r="G44" s="65"/>
      <c r="H44" s="74"/>
      <c r="I44" s="65"/>
      <c r="J44" s="74"/>
      <c r="K44" s="65"/>
      <c r="L44" s="74"/>
      <c r="M44" s="65"/>
      <c r="N44" s="74"/>
      <c r="O44" s="65"/>
      <c r="P44" s="74"/>
      <c r="Q44" s="65"/>
    </row>
    <row r="45" spans="1:17" ht="13" x14ac:dyDescent="0.35">
      <c r="B45" s="110" t="s">
        <v>738</v>
      </c>
      <c r="C45" s="65"/>
      <c r="D45" s="74"/>
      <c r="E45" s="65"/>
      <c r="F45" s="74"/>
      <c r="G45" s="65"/>
      <c r="H45" s="74"/>
      <c r="I45" s="65"/>
      <c r="J45" s="74"/>
      <c r="K45" s="65"/>
      <c r="L45" s="74"/>
      <c r="M45" s="65"/>
      <c r="N45" s="74"/>
      <c r="O45" s="65"/>
      <c r="P45" s="74"/>
      <c r="Q45" s="65"/>
    </row>
    <row r="46" spans="1:17" ht="13" x14ac:dyDescent="0.35">
      <c r="B46" s="110" t="s">
        <v>739</v>
      </c>
      <c r="C46" s="65"/>
      <c r="D46" s="74"/>
      <c r="E46" s="65"/>
      <c r="F46" s="74"/>
      <c r="G46" s="65"/>
      <c r="H46" s="74"/>
      <c r="I46" s="65"/>
      <c r="J46" s="74"/>
      <c r="K46" s="65"/>
      <c r="L46" s="74"/>
      <c r="M46" s="65"/>
      <c r="N46" s="74"/>
      <c r="O46" s="65"/>
      <c r="P46" s="74"/>
      <c r="Q46" s="65"/>
    </row>
    <row r="47" spans="1:17" ht="13" x14ac:dyDescent="0.35">
      <c r="B47" s="110" t="s">
        <v>740</v>
      </c>
      <c r="C47" s="65"/>
      <c r="D47" s="74"/>
      <c r="E47" s="65"/>
      <c r="F47" s="74"/>
      <c r="G47" s="65"/>
      <c r="H47" s="74"/>
      <c r="I47" s="65"/>
      <c r="J47" s="74"/>
      <c r="K47" s="65"/>
      <c r="L47" s="74"/>
      <c r="M47" s="65"/>
      <c r="N47" s="74"/>
      <c r="O47" s="65"/>
      <c r="P47" s="74"/>
      <c r="Q47" s="65"/>
    </row>
    <row r="48" spans="1:17" ht="13" x14ac:dyDescent="0.35">
      <c r="B48" s="110" t="s">
        <v>741</v>
      </c>
      <c r="C48" s="65"/>
      <c r="D48" s="74"/>
      <c r="E48" s="65"/>
      <c r="F48" s="74"/>
      <c r="G48" s="65"/>
      <c r="H48" s="74"/>
      <c r="I48" s="65"/>
      <c r="J48" s="74"/>
      <c r="K48" s="65"/>
      <c r="L48" s="74"/>
      <c r="M48" s="65"/>
      <c r="N48" s="74"/>
      <c r="O48" s="65"/>
      <c r="P48" s="74"/>
      <c r="Q48" s="65"/>
    </row>
    <row r="49" spans="1:17" ht="13" x14ac:dyDescent="0.35">
      <c r="B49" s="110" t="s">
        <v>742</v>
      </c>
      <c r="C49" s="65"/>
      <c r="D49" s="74"/>
      <c r="E49" s="65"/>
      <c r="F49" s="74"/>
      <c r="G49" s="65"/>
      <c r="H49" s="74"/>
      <c r="I49" s="65"/>
      <c r="J49" s="74"/>
      <c r="K49" s="65"/>
      <c r="L49" s="74"/>
      <c r="M49" s="65"/>
      <c r="N49" s="74"/>
      <c r="O49" s="65"/>
      <c r="P49" s="74"/>
      <c r="Q49" s="65"/>
    </row>
    <row r="50" spans="1:17" ht="13" x14ac:dyDescent="0.35">
      <c r="B50" s="110" t="s">
        <v>743</v>
      </c>
      <c r="C50" s="65"/>
      <c r="D50" s="74"/>
      <c r="E50" s="65"/>
      <c r="F50" s="74"/>
      <c r="G50" s="65"/>
      <c r="H50" s="74"/>
      <c r="I50" s="65"/>
      <c r="J50" s="74"/>
      <c r="K50" s="65"/>
      <c r="L50" s="74"/>
      <c r="M50" s="65"/>
      <c r="N50" s="74"/>
      <c r="O50" s="65"/>
      <c r="P50" s="74"/>
      <c r="Q50" s="65"/>
    </row>
    <row r="51" spans="1:17" ht="13" x14ac:dyDescent="0.35">
      <c r="B51" s="110" t="s">
        <v>744</v>
      </c>
      <c r="C51" s="65"/>
      <c r="D51" s="74"/>
      <c r="E51" s="65"/>
      <c r="F51" s="74"/>
      <c r="G51" s="65"/>
      <c r="H51" s="74"/>
      <c r="I51" s="65"/>
      <c r="J51" s="74"/>
      <c r="K51" s="65"/>
      <c r="L51" s="74"/>
      <c r="M51" s="65"/>
      <c r="N51" s="74"/>
      <c r="O51" s="65"/>
      <c r="P51" s="74"/>
      <c r="Q51" s="65"/>
    </row>
    <row r="52" spans="1:17" ht="13" x14ac:dyDescent="0.35">
      <c r="B52" s="110" t="s">
        <v>745</v>
      </c>
      <c r="C52" s="65"/>
      <c r="D52" s="74"/>
      <c r="E52" s="65"/>
      <c r="F52" s="74"/>
      <c r="G52" s="65"/>
      <c r="H52" s="74"/>
      <c r="I52" s="65"/>
      <c r="J52" s="74"/>
      <c r="K52" s="65"/>
      <c r="L52" s="74"/>
      <c r="M52" s="65"/>
      <c r="N52" s="74"/>
      <c r="O52" s="65"/>
      <c r="P52" s="74"/>
      <c r="Q52" s="65"/>
    </row>
    <row r="53" spans="1:17" ht="13" x14ac:dyDescent="0.35">
      <c r="B53" s="110" t="s">
        <v>116</v>
      </c>
      <c r="C53" s="65"/>
      <c r="D53" s="74"/>
      <c r="E53" s="65"/>
      <c r="F53" s="74"/>
      <c r="G53" s="65"/>
      <c r="H53" s="74"/>
      <c r="I53" s="65"/>
      <c r="J53" s="74"/>
      <c r="K53" s="65"/>
      <c r="L53" s="74"/>
      <c r="M53" s="65"/>
      <c r="N53" s="74"/>
      <c r="O53" s="65"/>
      <c r="P53" s="74"/>
      <c r="Q53" s="65"/>
    </row>
    <row r="54" spans="1:17" ht="13" x14ac:dyDescent="0.35">
      <c r="C54" s="73"/>
      <c r="D54" s="74"/>
      <c r="E54" s="73"/>
      <c r="F54" s="74"/>
      <c r="G54" s="73"/>
      <c r="H54" s="74"/>
      <c r="I54" s="73"/>
      <c r="J54" s="74"/>
      <c r="K54" s="73"/>
      <c r="L54" s="74"/>
      <c r="M54" s="73"/>
      <c r="N54" s="74"/>
      <c r="O54" s="73"/>
      <c r="P54" s="74"/>
      <c r="Q54" s="73"/>
    </row>
    <row r="55" spans="1:17" ht="13" x14ac:dyDescent="0.35">
      <c r="A55" s="110" t="s">
        <v>20</v>
      </c>
      <c r="B55" s="122" t="s">
        <v>21</v>
      </c>
      <c r="C55" s="73"/>
      <c r="D55" s="74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3"/>
      <c r="P55" s="74"/>
      <c r="Q55" s="73"/>
    </row>
    <row r="56" spans="1:17" ht="13.5" thickBot="1" x14ac:dyDescent="0.4">
      <c r="B56" s="122" t="s">
        <v>129</v>
      </c>
      <c r="C56" s="102">
        <f>SUM(C57:C68)</f>
        <v>0</v>
      </c>
      <c r="D56" s="103"/>
      <c r="E56" s="102">
        <f>SUM(E57:E68)</f>
        <v>0</v>
      </c>
      <c r="F56" s="103"/>
      <c r="G56" s="102">
        <f>SUM(G57:G68)</f>
        <v>0</v>
      </c>
      <c r="H56" s="103"/>
      <c r="I56" s="102">
        <f>SUM(I57:I68)</f>
        <v>0</v>
      </c>
      <c r="J56" s="103"/>
      <c r="K56" s="102">
        <f>SUM(K57:K68)</f>
        <v>0</v>
      </c>
      <c r="L56" s="104"/>
      <c r="M56" s="102">
        <f>SUM(M57:M68)</f>
        <v>0</v>
      </c>
      <c r="N56" s="104"/>
      <c r="O56" s="102">
        <f>SUM(O57:O68)</f>
        <v>0</v>
      </c>
      <c r="P56" s="104"/>
      <c r="Q56" s="102">
        <f>SUM(Q57:Q68)</f>
        <v>0</v>
      </c>
    </row>
    <row r="57" spans="1:17" ht="13" x14ac:dyDescent="0.35">
      <c r="B57" s="110" t="s">
        <v>109</v>
      </c>
      <c r="C57" s="66"/>
      <c r="D57" s="74"/>
      <c r="E57" s="66"/>
      <c r="F57" s="123"/>
      <c r="G57" s="81"/>
      <c r="H57" s="109"/>
      <c r="I57" s="81"/>
      <c r="J57" s="123"/>
      <c r="K57" s="81"/>
      <c r="L57" s="109"/>
      <c r="M57" s="81"/>
      <c r="N57" s="74"/>
      <c r="O57" s="66"/>
      <c r="P57" s="74"/>
      <c r="Q57" s="66"/>
    </row>
    <row r="58" spans="1:17" ht="13" x14ac:dyDescent="0.35">
      <c r="B58" s="110" t="s">
        <v>736</v>
      </c>
      <c r="C58" s="66"/>
      <c r="D58" s="74"/>
      <c r="E58" s="66"/>
      <c r="F58" s="123"/>
      <c r="G58" s="81"/>
      <c r="H58" s="109"/>
      <c r="I58" s="81"/>
      <c r="J58" s="123"/>
      <c r="K58" s="81"/>
      <c r="L58" s="109"/>
      <c r="M58" s="81"/>
      <c r="N58" s="74"/>
      <c r="O58" s="66"/>
      <c r="P58" s="74"/>
      <c r="Q58" s="66"/>
    </row>
    <row r="59" spans="1:17" ht="13" x14ac:dyDescent="0.35">
      <c r="B59" s="110" t="s">
        <v>737</v>
      </c>
      <c r="C59" s="66"/>
      <c r="D59" s="74"/>
      <c r="E59" s="66"/>
      <c r="F59" s="123"/>
      <c r="G59" s="81"/>
      <c r="H59" s="109"/>
      <c r="I59" s="81"/>
      <c r="J59" s="123"/>
      <c r="K59" s="81"/>
      <c r="L59" s="109"/>
      <c r="M59" s="81"/>
      <c r="N59" s="74"/>
      <c r="O59" s="66"/>
      <c r="P59" s="74"/>
      <c r="Q59" s="66"/>
    </row>
    <row r="60" spans="1:17" ht="13" x14ac:dyDescent="0.35">
      <c r="B60" s="110" t="s">
        <v>738</v>
      </c>
      <c r="C60" s="66"/>
      <c r="D60" s="74"/>
      <c r="E60" s="66"/>
      <c r="F60" s="123"/>
      <c r="G60" s="81"/>
      <c r="H60" s="109"/>
      <c r="I60" s="81"/>
      <c r="J60" s="123"/>
      <c r="K60" s="81"/>
      <c r="L60" s="109"/>
      <c r="M60" s="81"/>
      <c r="N60" s="74"/>
      <c r="O60" s="66"/>
      <c r="P60" s="74"/>
      <c r="Q60" s="66"/>
    </row>
    <row r="61" spans="1:17" ht="13" x14ac:dyDescent="0.35">
      <c r="B61" s="110" t="s">
        <v>739</v>
      </c>
      <c r="C61" s="66"/>
      <c r="D61" s="74"/>
      <c r="E61" s="66"/>
      <c r="F61" s="123"/>
      <c r="G61" s="81"/>
      <c r="H61" s="109"/>
      <c r="I61" s="81"/>
      <c r="J61" s="123"/>
      <c r="K61" s="81"/>
      <c r="L61" s="109"/>
      <c r="M61" s="81"/>
      <c r="N61" s="74"/>
      <c r="O61" s="66"/>
      <c r="P61" s="74"/>
      <c r="Q61" s="66"/>
    </row>
    <row r="62" spans="1:17" ht="13" x14ac:dyDescent="0.35">
      <c r="B62" s="110" t="s">
        <v>740</v>
      </c>
      <c r="C62" s="66"/>
      <c r="D62" s="74"/>
      <c r="E62" s="66"/>
      <c r="F62" s="123"/>
      <c r="G62" s="81"/>
      <c r="H62" s="109"/>
      <c r="I62" s="81"/>
      <c r="J62" s="123"/>
      <c r="K62" s="81"/>
      <c r="L62" s="109"/>
      <c r="M62" s="81"/>
      <c r="N62" s="74"/>
      <c r="O62" s="66"/>
      <c r="P62" s="74"/>
      <c r="Q62" s="66"/>
    </row>
    <row r="63" spans="1:17" ht="13" x14ac:dyDescent="0.35">
      <c r="B63" s="110" t="s">
        <v>741</v>
      </c>
      <c r="C63" s="66"/>
      <c r="D63" s="74"/>
      <c r="E63" s="66"/>
      <c r="F63" s="123"/>
      <c r="G63" s="81"/>
      <c r="H63" s="109"/>
      <c r="I63" s="81"/>
      <c r="J63" s="123"/>
      <c r="K63" s="81"/>
      <c r="L63" s="109"/>
      <c r="M63" s="81"/>
      <c r="N63" s="74"/>
      <c r="O63" s="66"/>
      <c r="P63" s="74"/>
      <c r="Q63" s="66"/>
    </row>
    <row r="64" spans="1:17" ht="13" x14ac:dyDescent="0.35">
      <c r="B64" s="110" t="s">
        <v>742</v>
      </c>
      <c r="C64" s="66"/>
      <c r="D64" s="74"/>
      <c r="E64" s="66"/>
      <c r="F64" s="123"/>
      <c r="G64" s="81"/>
      <c r="H64" s="109"/>
      <c r="I64" s="81"/>
      <c r="J64" s="123"/>
      <c r="K64" s="81"/>
      <c r="L64" s="109"/>
      <c r="M64" s="81"/>
      <c r="N64" s="74"/>
      <c r="O64" s="66"/>
      <c r="P64" s="74"/>
      <c r="Q64" s="66"/>
    </row>
    <row r="65" spans="1:17" ht="13" x14ac:dyDescent="0.35">
      <c r="B65" s="110" t="s">
        <v>743</v>
      </c>
      <c r="C65" s="66"/>
      <c r="D65" s="74"/>
      <c r="E65" s="66"/>
      <c r="F65" s="123"/>
      <c r="G65" s="81"/>
      <c r="H65" s="109"/>
      <c r="I65" s="81"/>
      <c r="J65" s="123"/>
      <c r="K65" s="81"/>
      <c r="L65" s="109"/>
      <c r="M65" s="81"/>
      <c r="N65" s="74"/>
      <c r="O65" s="66"/>
      <c r="P65" s="74"/>
      <c r="Q65" s="66"/>
    </row>
    <row r="66" spans="1:17" ht="13" x14ac:dyDescent="0.35">
      <c r="B66" s="110" t="s">
        <v>744</v>
      </c>
      <c r="C66" s="66"/>
      <c r="D66" s="74"/>
      <c r="E66" s="66"/>
      <c r="F66" s="123"/>
      <c r="G66" s="81"/>
      <c r="H66" s="109"/>
      <c r="I66" s="81"/>
      <c r="J66" s="123"/>
      <c r="K66" s="81"/>
      <c r="L66" s="109"/>
      <c r="M66" s="81"/>
      <c r="N66" s="74"/>
      <c r="O66" s="66"/>
      <c r="P66" s="74"/>
      <c r="Q66" s="66"/>
    </row>
    <row r="67" spans="1:17" ht="13" x14ac:dyDescent="0.35">
      <c r="B67" s="110" t="s">
        <v>745</v>
      </c>
      <c r="C67" s="66"/>
      <c r="D67" s="74"/>
      <c r="E67" s="66"/>
      <c r="F67" s="123"/>
      <c r="G67" s="81"/>
      <c r="H67" s="109"/>
      <c r="I67" s="81"/>
      <c r="J67" s="123"/>
      <c r="K67" s="81"/>
      <c r="L67" s="109"/>
      <c r="M67" s="81"/>
      <c r="N67" s="74"/>
      <c r="O67" s="66"/>
      <c r="P67" s="74"/>
      <c r="Q67" s="66"/>
    </row>
    <row r="68" spans="1:17" ht="13" x14ac:dyDescent="0.35">
      <c r="B68" s="110" t="s">
        <v>116</v>
      </c>
      <c r="C68" s="66"/>
      <c r="D68" s="74"/>
      <c r="E68" s="66"/>
      <c r="F68" s="123"/>
      <c r="G68" s="81"/>
      <c r="H68" s="109"/>
      <c r="I68" s="81"/>
      <c r="J68" s="123"/>
      <c r="K68" s="81"/>
      <c r="L68" s="109"/>
      <c r="M68" s="81"/>
      <c r="N68" s="74"/>
      <c r="O68" s="66"/>
      <c r="P68" s="74"/>
      <c r="Q68" s="66"/>
    </row>
    <row r="69" spans="1:17" x14ac:dyDescent="0.25">
      <c r="D69" s="109"/>
      <c r="F69" s="109"/>
      <c r="H69" s="109"/>
      <c r="J69" s="109"/>
      <c r="L69" s="109"/>
      <c r="N69" s="109"/>
      <c r="P69" s="109"/>
    </row>
    <row r="70" spans="1:17" x14ac:dyDescent="0.25">
      <c r="A70" s="110" t="s">
        <v>22</v>
      </c>
      <c r="B70" s="122" t="s">
        <v>23</v>
      </c>
      <c r="D70" s="109"/>
      <c r="F70" s="109"/>
      <c r="H70" s="109"/>
      <c r="J70" s="109"/>
      <c r="L70" s="109"/>
      <c r="N70" s="109"/>
      <c r="P70" s="109"/>
    </row>
    <row r="71" spans="1:17" ht="13.5" thickBot="1" x14ac:dyDescent="0.4">
      <c r="B71" s="122" t="s">
        <v>129</v>
      </c>
      <c r="C71" s="102">
        <f>SUM(C72:C83)</f>
        <v>0</v>
      </c>
      <c r="D71" s="103"/>
      <c r="E71" s="102">
        <f>SUM(E72:E83)</f>
        <v>0</v>
      </c>
      <c r="F71" s="103"/>
      <c r="G71" s="102">
        <f>SUM(G72:G83)</f>
        <v>0</v>
      </c>
      <c r="H71" s="103"/>
      <c r="I71" s="102">
        <f>SUM(I72:I83)</f>
        <v>0</v>
      </c>
      <c r="J71" s="103"/>
      <c r="K71" s="102">
        <f>SUM(K72:K83)</f>
        <v>0</v>
      </c>
      <c r="L71" s="104"/>
      <c r="M71" s="102">
        <f>SUM(M72:M83)</f>
        <v>0</v>
      </c>
      <c r="N71" s="104"/>
      <c r="O71" s="102">
        <f>SUM(O72:O83)</f>
        <v>0</v>
      </c>
      <c r="P71" s="104"/>
      <c r="Q71" s="102">
        <f>SUM(Q72:Q83)</f>
        <v>0</v>
      </c>
    </row>
    <row r="72" spans="1:17" ht="13" x14ac:dyDescent="0.35">
      <c r="B72" s="110" t="s">
        <v>109</v>
      </c>
      <c r="C72" s="66"/>
      <c r="D72" s="74"/>
      <c r="E72" s="66"/>
      <c r="F72" s="74"/>
      <c r="G72" s="81"/>
      <c r="H72" s="109"/>
      <c r="I72" s="81"/>
      <c r="J72" s="74"/>
      <c r="K72" s="81"/>
      <c r="L72" s="109"/>
      <c r="M72" s="81"/>
      <c r="N72" s="74"/>
      <c r="O72" s="66"/>
      <c r="P72" s="74"/>
      <c r="Q72" s="66"/>
    </row>
    <row r="73" spans="1:17" ht="13" x14ac:dyDescent="0.35">
      <c r="B73" s="110" t="s">
        <v>736</v>
      </c>
      <c r="C73" s="65"/>
      <c r="D73" s="74"/>
      <c r="E73" s="65"/>
      <c r="F73" s="74"/>
      <c r="G73" s="81"/>
      <c r="H73" s="109"/>
      <c r="I73" s="81"/>
      <c r="J73" s="74"/>
      <c r="K73" s="81"/>
      <c r="L73" s="109"/>
      <c r="M73" s="81"/>
      <c r="N73" s="74"/>
      <c r="O73" s="65"/>
      <c r="P73" s="74"/>
      <c r="Q73" s="65"/>
    </row>
    <row r="74" spans="1:17" ht="13" x14ac:dyDescent="0.35">
      <c r="B74" s="110" t="s">
        <v>737</v>
      </c>
      <c r="C74" s="66"/>
      <c r="D74" s="74"/>
      <c r="E74" s="66"/>
      <c r="F74" s="74"/>
      <c r="G74" s="81"/>
      <c r="H74" s="109"/>
      <c r="I74" s="81"/>
      <c r="J74" s="74"/>
      <c r="K74" s="81"/>
      <c r="L74" s="109"/>
      <c r="M74" s="81"/>
      <c r="N74" s="74"/>
      <c r="O74" s="66"/>
      <c r="P74" s="74"/>
      <c r="Q74" s="66"/>
    </row>
    <row r="75" spans="1:17" ht="13" x14ac:dyDescent="0.35">
      <c r="B75" s="110" t="s">
        <v>738</v>
      </c>
      <c r="C75" s="65"/>
      <c r="D75" s="74"/>
      <c r="E75" s="65"/>
      <c r="F75" s="74"/>
      <c r="G75" s="81"/>
      <c r="H75" s="109"/>
      <c r="I75" s="81"/>
      <c r="J75" s="74"/>
      <c r="K75" s="81"/>
      <c r="L75" s="109"/>
      <c r="M75" s="81"/>
      <c r="N75" s="74"/>
      <c r="O75" s="65"/>
      <c r="P75" s="74"/>
      <c r="Q75" s="65"/>
    </row>
    <row r="76" spans="1:17" ht="13" x14ac:dyDescent="0.35">
      <c r="B76" s="110" t="s">
        <v>739</v>
      </c>
      <c r="C76" s="65"/>
      <c r="D76" s="74"/>
      <c r="E76" s="65"/>
      <c r="F76" s="74"/>
      <c r="G76" s="81"/>
      <c r="H76" s="109"/>
      <c r="I76" s="81"/>
      <c r="J76" s="74"/>
      <c r="K76" s="81"/>
      <c r="L76" s="109"/>
      <c r="M76" s="81"/>
      <c r="N76" s="74"/>
      <c r="O76" s="65"/>
      <c r="P76" s="74"/>
      <c r="Q76" s="65"/>
    </row>
    <row r="77" spans="1:17" ht="13" x14ac:dyDescent="0.35">
      <c r="B77" s="110" t="s">
        <v>740</v>
      </c>
      <c r="C77" s="65"/>
      <c r="D77" s="74"/>
      <c r="E77" s="65"/>
      <c r="F77" s="74"/>
      <c r="G77" s="81"/>
      <c r="H77" s="109"/>
      <c r="I77" s="81"/>
      <c r="J77" s="74"/>
      <c r="K77" s="81"/>
      <c r="L77" s="109"/>
      <c r="M77" s="81"/>
      <c r="N77" s="74"/>
      <c r="O77" s="65"/>
      <c r="P77" s="74"/>
      <c r="Q77" s="65"/>
    </row>
    <row r="78" spans="1:17" ht="13" x14ac:dyDescent="0.35">
      <c r="B78" s="110" t="s">
        <v>741</v>
      </c>
      <c r="C78" s="65"/>
      <c r="D78" s="74"/>
      <c r="E78" s="65"/>
      <c r="F78" s="74"/>
      <c r="G78" s="81"/>
      <c r="H78" s="109"/>
      <c r="I78" s="81"/>
      <c r="J78" s="74"/>
      <c r="K78" s="81"/>
      <c r="L78" s="109"/>
      <c r="M78" s="81"/>
      <c r="N78" s="74"/>
      <c r="O78" s="65"/>
      <c r="P78" s="74"/>
      <c r="Q78" s="65"/>
    </row>
    <row r="79" spans="1:17" ht="13" x14ac:dyDescent="0.35">
      <c r="B79" s="110" t="s">
        <v>742</v>
      </c>
      <c r="C79" s="65"/>
      <c r="D79" s="74"/>
      <c r="E79" s="65"/>
      <c r="F79" s="74"/>
      <c r="G79" s="81"/>
      <c r="H79" s="109"/>
      <c r="I79" s="81"/>
      <c r="J79" s="74"/>
      <c r="K79" s="81"/>
      <c r="L79" s="109"/>
      <c r="M79" s="81"/>
      <c r="N79" s="74"/>
      <c r="O79" s="65"/>
      <c r="P79" s="74"/>
      <c r="Q79" s="65"/>
    </row>
    <row r="80" spans="1:17" ht="13" x14ac:dyDescent="0.35">
      <c r="B80" s="110" t="s">
        <v>743</v>
      </c>
      <c r="C80" s="65"/>
      <c r="D80" s="74"/>
      <c r="E80" s="65"/>
      <c r="F80" s="74"/>
      <c r="G80" s="81"/>
      <c r="H80" s="109"/>
      <c r="I80" s="81"/>
      <c r="J80" s="74"/>
      <c r="K80" s="81"/>
      <c r="L80" s="109"/>
      <c r="M80" s="81"/>
      <c r="N80" s="74"/>
      <c r="O80" s="65"/>
      <c r="P80" s="74"/>
      <c r="Q80" s="65"/>
    </row>
    <row r="81" spans="1:17" ht="13" x14ac:dyDescent="0.35">
      <c r="B81" s="110" t="s">
        <v>744</v>
      </c>
      <c r="C81" s="65"/>
      <c r="D81" s="74"/>
      <c r="E81" s="65"/>
      <c r="F81" s="74"/>
      <c r="G81" s="81"/>
      <c r="H81" s="109"/>
      <c r="I81" s="81"/>
      <c r="J81" s="74"/>
      <c r="K81" s="81"/>
      <c r="L81" s="109"/>
      <c r="M81" s="81"/>
      <c r="N81" s="74"/>
      <c r="O81" s="65"/>
      <c r="P81" s="74"/>
      <c r="Q81" s="65"/>
    </row>
    <row r="82" spans="1:17" ht="13" x14ac:dyDescent="0.35">
      <c r="B82" s="110" t="s">
        <v>745</v>
      </c>
      <c r="C82" s="65"/>
      <c r="D82" s="74"/>
      <c r="E82" s="65"/>
      <c r="F82" s="74"/>
      <c r="G82" s="81"/>
      <c r="H82" s="109"/>
      <c r="I82" s="81"/>
      <c r="J82" s="74"/>
      <c r="K82" s="81"/>
      <c r="L82" s="109"/>
      <c r="M82" s="81"/>
      <c r="N82" s="74"/>
      <c r="O82" s="65"/>
      <c r="P82" s="74"/>
      <c r="Q82" s="65"/>
    </row>
    <row r="83" spans="1:17" ht="13" x14ac:dyDescent="0.35">
      <c r="B83" s="110" t="s">
        <v>116</v>
      </c>
      <c r="C83" s="66"/>
      <c r="D83" s="74"/>
      <c r="E83" s="66"/>
      <c r="F83" s="74"/>
      <c r="G83" s="81"/>
      <c r="H83" s="109"/>
      <c r="I83" s="81"/>
      <c r="J83" s="74"/>
      <c r="K83" s="81"/>
      <c r="L83" s="109"/>
      <c r="M83" s="81"/>
      <c r="N83" s="74"/>
      <c r="O83" s="66"/>
      <c r="P83" s="74"/>
      <c r="Q83" s="66"/>
    </row>
    <row r="84" spans="1:17" ht="13" x14ac:dyDescent="0.35">
      <c r="C84" s="73"/>
      <c r="D84" s="74"/>
      <c r="E84" s="73"/>
      <c r="F84" s="74"/>
      <c r="G84" s="73"/>
      <c r="H84" s="74"/>
      <c r="I84" s="73"/>
      <c r="J84" s="74"/>
      <c r="K84" s="73"/>
      <c r="L84" s="74"/>
      <c r="M84" s="73"/>
      <c r="N84" s="74"/>
      <c r="O84" s="73"/>
      <c r="P84" s="74"/>
      <c r="Q84" s="73"/>
    </row>
    <row r="85" spans="1:17" ht="13.5" thickBot="1" x14ac:dyDescent="0.4">
      <c r="A85" s="110" t="s">
        <v>24</v>
      </c>
      <c r="B85" s="122" t="s">
        <v>25</v>
      </c>
      <c r="C85" s="102">
        <f>SUM(C86:C97)</f>
        <v>0</v>
      </c>
      <c r="D85" s="103"/>
      <c r="E85" s="102">
        <f>SUM(E86:E97)</f>
        <v>0</v>
      </c>
      <c r="F85" s="103"/>
      <c r="G85" s="102">
        <f>SUM(G86:G97)</f>
        <v>0</v>
      </c>
      <c r="H85" s="103"/>
      <c r="I85" s="102">
        <f>SUM(I86:I97)</f>
        <v>0</v>
      </c>
      <c r="J85" s="103"/>
      <c r="K85" s="102">
        <f>SUM(K86:K97)</f>
        <v>0</v>
      </c>
      <c r="L85" s="104"/>
      <c r="M85" s="102">
        <f>SUM(M86:M97)</f>
        <v>0</v>
      </c>
      <c r="N85" s="104"/>
      <c r="O85" s="102">
        <f>SUM(O86:O97)</f>
        <v>0</v>
      </c>
      <c r="P85" s="104"/>
      <c r="Q85" s="102">
        <f>SUM(Q86:Q97)</f>
        <v>0</v>
      </c>
    </row>
    <row r="86" spans="1:17" ht="13" x14ac:dyDescent="0.35">
      <c r="B86" s="110" t="s">
        <v>109</v>
      </c>
      <c r="C86" s="66"/>
      <c r="D86" s="74"/>
      <c r="E86" s="66"/>
      <c r="F86" s="74"/>
      <c r="G86" s="66"/>
      <c r="H86" s="74"/>
      <c r="I86" s="66"/>
      <c r="J86" s="74"/>
      <c r="K86" s="101"/>
      <c r="L86" s="74"/>
      <c r="M86" s="101"/>
      <c r="N86" s="74"/>
      <c r="O86" s="101"/>
      <c r="P86" s="74"/>
      <c r="Q86" s="66"/>
    </row>
    <row r="87" spans="1:17" ht="13" x14ac:dyDescent="0.35">
      <c r="B87" s="110" t="s">
        <v>736</v>
      </c>
      <c r="C87" s="66"/>
      <c r="D87" s="74"/>
      <c r="E87" s="66"/>
      <c r="F87" s="74"/>
      <c r="G87" s="66"/>
      <c r="H87" s="74"/>
      <c r="I87" s="66"/>
      <c r="J87" s="74"/>
      <c r="K87" s="66"/>
      <c r="L87" s="74"/>
      <c r="M87" s="66"/>
      <c r="N87" s="74"/>
      <c r="O87" s="66"/>
      <c r="P87" s="74"/>
      <c r="Q87" s="66"/>
    </row>
    <row r="88" spans="1:17" ht="13" x14ac:dyDescent="0.35">
      <c r="B88" s="110" t="s">
        <v>737</v>
      </c>
      <c r="C88" s="66"/>
      <c r="D88" s="74"/>
      <c r="E88" s="66"/>
      <c r="F88" s="74"/>
      <c r="G88" s="66"/>
      <c r="H88" s="74"/>
      <c r="I88" s="66"/>
      <c r="J88" s="74"/>
      <c r="K88" s="66"/>
      <c r="L88" s="74"/>
      <c r="M88" s="66"/>
      <c r="N88" s="74"/>
      <c r="O88" s="66"/>
      <c r="P88" s="74"/>
      <c r="Q88" s="66"/>
    </row>
    <row r="89" spans="1:17" ht="13" x14ac:dyDescent="0.35">
      <c r="B89" s="110" t="s">
        <v>738</v>
      </c>
      <c r="C89" s="66"/>
      <c r="D89" s="74"/>
      <c r="E89" s="66"/>
      <c r="F89" s="74"/>
      <c r="G89" s="66"/>
      <c r="H89" s="74"/>
      <c r="I89" s="66"/>
      <c r="J89" s="74"/>
      <c r="K89" s="66"/>
      <c r="L89" s="74"/>
      <c r="M89" s="66"/>
      <c r="N89" s="74"/>
      <c r="O89" s="66"/>
      <c r="P89" s="74"/>
      <c r="Q89" s="66"/>
    </row>
    <row r="90" spans="1:17" ht="13" x14ac:dyDescent="0.35">
      <c r="B90" s="110" t="s">
        <v>739</v>
      </c>
      <c r="C90" s="66"/>
      <c r="D90" s="74"/>
      <c r="E90" s="66"/>
      <c r="F90" s="74"/>
      <c r="G90" s="66"/>
      <c r="H90" s="74"/>
      <c r="I90" s="66"/>
      <c r="J90" s="74"/>
      <c r="K90" s="66"/>
      <c r="L90" s="74"/>
      <c r="M90" s="66"/>
      <c r="N90" s="74"/>
      <c r="O90" s="66"/>
      <c r="P90" s="74"/>
      <c r="Q90" s="66"/>
    </row>
    <row r="91" spans="1:17" ht="13" x14ac:dyDescent="0.35">
      <c r="B91" s="110" t="s">
        <v>740</v>
      </c>
      <c r="C91" s="66"/>
      <c r="D91" s="74"/>
      <c r="E91" s="66"/>
      <c r="F91" s="74"/>
      <c r="G91" s="66"/>
      <c r="H91" s="74"/>
      <c r="I91" s="66"/>
      <c r="J91" s="74"/>
      <c r="K91" s="66"/>
      <c r="L91" s="74"/>
      <c r="M91" s="66"/>
      <c r="N91" s="74"/>
      <c r="O91" s="66"/>
      <c r="P91" s="74"/>
      <c r="Q91" s="66"/>
    </row>
    <row r="92" spans="1:17" ht="13" x14ac:dyDescent="0.35">
      <c r="B92" s="110" t="s">
        <v>741</v>
      </c>
      <c r="C92" s="66"/>
      <c r="D92" s="74"/>
      <c r="E92" s="66"/>
      <c r="F92" s="74"/>
      <c r="G92" s="65"/>
      <c r="H92" s="74"/>
      <c r="I92" s="65"/>
      <c r="J92" s="74"/>
      <c r="K92" s="65"/>
      <c r="L92" s="74"/>
      <c r="M92" s="65"/>
      <c r="N92" s="74"/>
      <c r="O92" s="66"/>
      <c r="P92" s="74"/>
      <c r="Q92" s="66"/>
    </row>
    <row r="93" spans="1:17" ht="13" x14ac:dyDescent="0.35">
      <c r="B93" s="110" t="s">
        <v>742</v>
      </c>
      <c r="C93" s="66"/>
      <c r="D93" s="74"/>
      <c r="E93" s="66"/>
      <c r="F93" s="74"/>
      <c r="G93" s="65"/>
      <c r="H93" s="74"/>
      <c r="I93" s="65"/>
      <c r="J93" s="74"/>
      <c r="K93" s="66"/>
      <c r="L93" s="74"/>
      <c r="M93" s="66"/>
      <c r="N93" s="74"/>
      <c r="O93" s="66"/>
      <c r="P93" s="74"/>
      <c r="Q93" s="66"/>
    </row>
    <row r="94" spans="1:17" ht="13" x14ac:dyDescent="0.35">
      <c r="B94" s="110" t="s">
        <v>743</v>
      </c>
      <c r="C94" s="66"/>
      <c r="D94" s="74"/>
      <c r="E94" s="66"/>
      <c r="F94" s="74"/>
      <c r="G94" s="66"/>
      <c r="H94" s="74"/>
      <c r="I94" s="66"/>
      <c r="J94" s="74"/>
      <c r="K94" s="66"/>
      <c r="L94" s="74"/>
      <c r="M94" s="66"/>
      <c r="N94" s="74"/>
      <c r="O94" s="66"/>
      <c r="P94" s="74"/>
      <c r="Q94" s="66"/>
    </row>
    <row r="95" spans="1:17" ht="13" x14ac:dyDescent="0.35">
      <c r="B95" s="110" t="s">
        <v>744</v>
      </c>
      <c r="C95" s="66"/>
      <c r="D95" s="74"/>
      <c r="E95" s="66"/>
      <c r="F95" s="74"/>
      <c r="G95" s="65"/>
      <c r="H95" s="74"/>
      <c r="I95" s="65"/>
      <c r="J95" s="74"/>
      <c r="K95" s="65"/>
      <c r="L95" s="74"/>
      <c r="M95" s="65"/>
      <c r="N95" s="74"/>
      <c r="O95" s="66"/>
      <c r="P95" s="74"/>
      <c r="Q95" s="66"/>
    </row>
    <row r="96" spans="1:17" ht="13" x14ac:dyDescent="0.35">
      <c r="B96" s="110" t="s">
        <v>745</v>
      </c>
      <c r="C96" s="66"/>
      <c r="D96" s="74"/>
      <c r="E96" s="66"/>
      <c r="F96" s="74"/>
      <c r="G96" s="65"/>
      <c r="H96" s="74"/>
      <c r="I96" s="65"/>
      <c r="J96" s="74"/>
      <c r="K96" s="66"/>
      <c r="L96" s="74"/>
      <c r="M96" s="66"/>
      <c r="N96" s="74"/>
      <c r="O96" s="66"/>
      <c r="P96" s="74"/>
      <c r="Q96" s="66"/>
    </row>
    <row r="97" spans="2:24" ht="13" x14ac:dyDescent="0.35">
      <c r="B97" s="110" t="s">
        <v>116</v>
      </c>
      <c r="C97" s="66"/>
      <c r="D97" s="74"/>
      <c r="E97" s="66"/>
      <c r="F97" s="74"/>
      <c r="G97" s="66"/>
      <c r="H97" s="74"/>
      <c r="I97" s="66"/>
      <c r="J97" s="74"/>
      <c r="K97" s="66"/>
      <c r="L97" s="74"/>
      <c r="M97" s="66"/>
      <c r="N97" s="74"/>
      <c r="O97" s="66"/>
      <c r="P97" s="74"/>
      <c r="Q97" s="66"/>
    </row>
    <row r="98" spans="2:24" ht="13" x14ac:dyDescent="0.35">
      <c r="C98" s="73"/>
      <c r="D98" s="74"/>
      <c r="E98" s="73"/>
      <c r="F98" s="74"/>
      <c r="G98" s="73"/>
      <c r="H98" s="74"/>
      <c r="I98" s="73"/>
      <c r="J98" s="74"/>
      <c r="K98" s="73"/>
      <c r="L98" s="74"/>
      <c r="M98" s="73"/>
      <c r="N98" s="74"/>
      <c r="O98" s="73"/>
      <c r="P98" s="74"/>
      <c r="Q98" s="73"/>
    </row>
    <row r="99" spans="2:24" ht="13" x14ac:dyDescent="0.35">
      <c r="B99" s="119" t="s">
        <v>27</v>
      </c>
      <c r="C99" s="124">
        <f>C26+C41+C56+C71+C85</f>
        <v>0</v>
      </c>
      <c r="D99" s="125"/>
      <c r="E99" s="124">
        <f>E26+E41+E56+E71+E85</f>
        <v>0</v>
      </c>
      <c r="F99" s="125"/>
      <c r="G99" s="124">
        <f>G26+G41+G56+G71+G85</f>
        <v>0</v>
      </c>
      <c r="H99" s="125"/>
      <c r="I99" s="124">
        <f>I26+I41+I56+I71+I85</f>
        <v>0</v>
      </c>
      <c r="J99" s="125"/>
      <c r="K99" s="124">
        <f>K26+K41+K56+K71+K85</f>
        <v>0</v>
      </c>
      <c r="L99" s="125"/>
      <c r="M99" s="124">
        <f>M26+M41+M56+M71+M85</f>
        <v>0</v>
      </c>
      <c r="N99" s="125"/>
      <c r="O99" s="124">
        <f>O26+O41+O56+O71+O85</f>
        <v>0</v>
      </c>
      <c r="P99" s="125"/>
      <c r="Q99" s="124">
        <f>Q26+Q41+Q56+Q71+Q85</f>
        <v>0</v>
      </c>
    </row>
    <row r="100" spans="2:24" x14ac:dyDescent="0.25">
      <c r="U100" s="110" t="s">
        <v>26</v>
      </c>
      <c r="V100" s="110" t="s">
        <v>26</v>
      </c>
      <c r="W100" s="110" t="s">
        <v>26</v>
      </c>
      <c r="X100" s="110" t="s">
        <v>26</v>
      </c>
    </row>
    <row r="101" spans="2:24" x14ac:dyDescent="0.25">
      <c r="U101" s="110" t="s">
        <v>26</v>
      </c>
      <c r="V101" s="110" t="s">
        <v>26</v>
      </c>
      <c r="W101" s="110" t="s">
        <v>26</v>
      </c>
      <c r="X101" s="110" t="s">
        <v>26</v>
      </c>
    </row>
  </sheetData>
  <sheetProtection selectLockedCells="1"/>
  <mergeCells count="4">
    <mergeCell ref="C11:I11"/>
    <mergeCell ref="A4:Q4"/>
    <mergeCell ref="A6:Q6"/>
    <mergeCell ref="A8:Q8"/>
  </mergeCells>
  <dataValidations count="5">
    <dataValidation type="list" showInputMessage="1" showErrorMessage="1" sqref="C11">
      <formula1>Institution</formula1>
    </dataValidation>
    <dataValidation type="decimal" allowBlank="1" showInputMessage="1" showErrorMessage="1" errorTitle="Validation Error" error="Incorrect data type (numbers/decimal only)" sqref="C27:C38 E27:E38 G27:G38 I27:I38 K27:K38 M27:M38 O27:O38 Q27:Q38 C42:C53 E42:E53 G42:G53 I42:I53 K42:K53 M42:M53 O42:O53 Q42:Q53 C57:C68 E57:E68 G57:G68 I57:I68 K57:K68 M57:M68 O57:O68 Q57:Q68 C72:C83 E72:E83 G72:G83 I72:I83 K72:K83 M72:M83 O72:O83 Q72:Q83 C86:C97 E86:E97 G86:G97 I86:I97 K86:K97 M86:M97 O86:O97 Q86:Q97">
      <formula1>0</formula1>
      <formula2>9.99999999999999E+36</formula2>
    </dataValidation>
    <dataValidation type="list" showInputMessage="1" showErrorMessage="1" sqref="C13">
      <formula1>day</formula1>
    </dataValidation>
    <dataValidation type="list" allowBlank="1" showInputMessage="1" showErrorMessage="1" sqref="C15">
      <formula1>month</formula1>
    </dataValidation>
    <dataValidation type="list" allowBlank="1" showInputMessage="1" showErrorMessage="1" sqref="C17">
      <formula1>year</formula1>
    </dataValidation>
  </dataValidations>
  <printOptions horizontalCentered="1" gridLinesSet="0"/>
  <pageMargins left="0" right="0" top="0.31" bottom="0.31" header="0.17" footer="0.2"/>
  <pageSetup paperSize="9" scale="91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2:U104"/>
  <sheetViews>
    <sheetView showGridLines="0" workbookViewId="0">
      <selection activeCell="C26" sqref="C26"/>
    </sheetView>
  </sheetViews>
  <sheetFormatPr defaultColWidth="8.8984375" defaultRowHeight="10.5" x14ac:dyDescent="0.25"/>
  <cols>
    <col min="1" max="1" width="2" style="130" customWidth="1"/>
    <col min="2" max="2" width="16.69921875" style="130" customWidth="1"/>
    <col min="3" max="3" width="5.8984375" style="130" customWidth="1"/>
    <col min="4" max="4" width="1.69921875" style="130" customWidth="1"/>
    <col min="5" max="5" width="12.09765625" style="130" customWidth="1"/>
    <col min="6" max="6" width="2.09765625" style="130" customWidth="1"/>
    <col min="7" max="7" width="5.8984375" style="130" customWidth="1"/>
    <col min="8" max="8" width="1.69921875" style="130" customWidth="1"/>
    <col min="9" max="9" width="12.09765625" style="130" customWidth="1"/>
    <col min="10" max="11" width="1.69921875" style="130" customWidth="1"/>
    <col min="12" max="12" width="5.8984375" style="128" customWidth="1"/>
    <col min="13" max="13" width="1.69921875" style="130" customWidth="1"/>
    <col min="14" max="14" width="13.3984375" style="128" customWidth="1"/>
    <col min="15" max="16384" width="8.8984375" style="130"/>
  </cols>
  <sheetData>
    <row r="2" spans="1:14" x14ac:dyDescent="0.25">
      <c r="A2" s="126"/>
      <c r="B2" s="127"/>
      <c r="C2" s="127"/>
      <c r="D2" s="127"/>
      <c r="E2" s="127"/>
      <c r="F2" s="127"/>
      <c r="G2" s="127"/>
      <c r="H2" s="127"/>
      <c r="I2" s="80"/>
      <c r="J2" s="80"/>
      <c r="K2" s="127"/>
      <c r="M2" s="127"/>
      <c r="N2" s="129" t="s">
        <v>746</v>
      </c>
    </row>
    <row r="3" spans="1:14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M3" s="127"/>
    </row>
    <row r="4" spans="1:14" x14ac:dyDescent="0.25">
      <c r="A4" s="131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M4" s="127"/>
    </row>
    <row r="5" spans="1:14" x14ac:dyDescent="0.25">
      <c r="A5" s="132"/>
      <c r="B5" s="127"/>
      <c r="C5" s="127"/>
      <c r="D5" s="127"/>
      <c r="E5" s="127"/>
      <c r="F5" s="127"/>
      <c r="G5" s="127"/>
      <c r="H5" s="127"/>
      <c r="I5" s="127"/>
      <c r="J5" s="127"/>
      <c r="K5" s="127"/>
      <c r="M5" s="127"/>
    </row>
    <row r="6" spans="1:14" x14ac:dyDescent="0.25">
      <c r="A6" s="131" t="s">
        <v>734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M6" s="127"/>
    </row>
    <row r="7" spans="1:14" x14ac:dyDescent="0.25">
      <c r="A7" s="132"/>
      <c r="B7" s="127"/>
      <c r="C7" s="127"/>
      <c r="D7" s="127"/>
      <c r="E7" s="127"/>
      <c r="F7" s="127"/>
      <c r="G7" s="127"/>
      <c r="H7" s="127"/>
      <c r="I7" s="127"/>
      <c r="J7" s="127"/>
      <c r="K7" s="127"/>
      <c r="M7" s="127"/>
    </row>
    <row r="8" spans="1:14" x14ac:dyDescent="0.25">
      <c r="A8" s="131" t="s">
        <v>747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M8" s="127"/>
    </row>
    <row r="11" spans="1:14" x14ac:dyDescent="0.25">
      <c r="B11" s="133"/>
      <c r="C11" s="77"/>
    </row>
    <row r="12" spans="1:14" x14ac:dyDescent="0.25">
      <c r="C12" s="134" t="s">
        <v>4</v>
      </c>
      <c r="D12" s="134"/>
      <c r="E12" s="127"/>
      <c r="F12" s="127"/>
      <c r="G12" s="134" t="s">
        <v>111</v>
      </c>
      <c r="H12" s="134"/>
      <c r="I12" s="127"/>
      <c r="J12" s="127"/>
      <c r="K12" s="127"/>
      <c r="L12" s="135" t="s">
        <v>103</v>
      </c>
      <c r="M12" s="134"/>
    </row>
    <row r="13" spans="1:14" x14ac:dyDescent="0.25">
      <c r="A13" s="136" t="s">
        <v>5</v>
      </c>
      <c r="B13" s="136" t="s">
        <v>6</v>
      </c>
      <c r="C13" s="134" t="s">
        <v>9</v>
      </c>
      <c r="D13" s="134"/>
      <c r="E13" s="127"/>
      <c r="F13" s="127"/>
      <c r="G13" s="134" t="s">
        <v>8</v>
      </c>
      <c r="H13" s="134"/>
      <c r="I13" s="127"/>
      <c r="J13" s="127"/>
      <c r="K13" s="127"/>
      <c r="L13" s="135" t="s">
        <v>9</v>
      </c>
      <c r="M13" s="134"/>
    </row>
    <row r="14" spans="1:14" x14ac:dyDescent="0.25">
      <c r="C14" s="134" t="s">
        <v>95</v>
      </c>
      <c r="D14" s="134"/>
      <c r="E14" s="127"/>
      <c r="F14" s="127"/>
      <c r="G14" s="134" t="s">
        <v>11</v>
      </c>
      <c r="H14" s="134"/>
      <c r="I14" s="127"/>
      <c r="J14" s="127"/>
      <c r="K14" s="127"/>
      <c r="L14" s="135" t="s">
        <v>12</v>
      </c>
      <c r="M14" s="134"/>
    </row>
    <row r="16" spans="1:14" x14ac:dyDescent="0.25">
      <c r="C16" s="80" t="s">
        <v>13</v>
      </c>
      <c r="D16" s="80"/>
      <c r="E16" s="128" t="s">
        <v>14</v>
      </c>
      <c r="F16" s="80"/>
      <c r="G16" s="80" t="s">
        <v>13</v>
      </c>
      <c r="H16" s="80"/>
      <c r="I16" s="128" t="s">
        <v>14</v>
      </c>
      <c r="J16" s="80"/>
      <c r="K16" s="80"/>
      <c r="L16" s="128" t="s">
        <v>13</v>
      </c>
      <c r="M16" s="80"/>
      <c r="N16" s="128" t="s">
        <v>14</v>
      </c>
    </row>
    <row r="17" spans="1:14" x14ac:dyDescent="0.25">
      <c r="C17" s="80"/>
      <c r="D17" s="80"/>
      <c r="E17" s="137" t="s">
        <v>15</v>
      </c>
      <c r="F17" s="138"/>
      <c r="G17" s="80"/>
      <c r="H17" s="80"/>
      <c r="I17" s="137" t="s">
        <v>15</v>
      </c>
      <c r="J17" s="138"/>
      <c r="K17" s="138"/>
      <c r="M17" s="80"/>
      <c r="N17" s="137" t="s">
        <v>15</v>
      </c>
    </row>
    <row r="18" spans="1:14" x14ac:dyDescent="0.25">
      <c r="C18" s="77"/>
      <c r="D18" s="77"/>
      <c r="E18" s="77"/>
      <c r="F18" s="77"/>
      <c r="G18" s="77"/>
      <c r="H18" s="77"/>
      <c r="I18" s="77"/>
      <c r="J18" s="77"/>
      <c r="K18" s="77"/>
      <c r="L18" s="76"/>
      <c r="M18" s="77"/>
      <c r="N18" s="76"/>
    </row>
    <row r="19" spans="1:14" ht="13" x14ac:dyDescent="0.35">
      <c r="A19" s="130" t="s">
        <v>16</v>
      </c>
      <c r="B19" s="139" t="s">
        <v>17</v>
      </c>
      <c r="C19" s="77"/>
      <c r="D19" s="77"/>
      <c r="E19" s="77"/>
      <c r="F19" s="77"/>
      <c r="G19" s="77"/>
      <c r="H19" s="77"/>
      <c r="I19" s="77"/>
      <c r="J19" s="77"/>
      <c r="K19" s="79"/>
      <c r="L19" s="76"/>
      <c r="M19" s="79"/>
      <c r="N19" s="76"/>
    </row>
    <row r="20" spans="1:14" ht="13" x14ac:dyDescent="0.35">
      <c r="B20" s="130" t="s">
        <v>117</v>
      </c>
      <c r="C20" s="62"/>
      <c r="D20" s="77"/>
      <c r="E20" s="62"/>
      <c r="F20" s="77"/>
      <c r="G20" s="62"/>
      <c r="H20" s="80"/>
      <c r="I20" s="62"/>
      <c r="J20" s="77"/>
      <c r="K20" s="75"/>
      <c r="L20" s="62"/>
      <c r="M20" s="77"/>
      <c r="N20" s="62"/>
    </row>
    <row r="21" spans="1:14" ht="13" x14ac:dyDescent="0.35">
      <c r="B21" s="130" t="s">
        <v>707</v>
      </c>
      <c r="C21" s="62"/>
      <c r="D21" s="77"/>
      <c r="E21" s="62"/>
      <c r="F21" s="77"/>
      <c r="G21" s="62"/>
      <c r="H21" s="77"/>
      <c r="I21" s="62"/>
      <c r="J21" s="77"/>
      <c r="K21" s="75"/>
      <c r="L21" s="62"/>
      <c r="M21" s="77"/>
      <c r="N21" s="62"/>
    </row>
    <row r="22" spans="1:14" ht="13" x14ac:dyDescent="0.35">
      <c r="B22" s="130" t="s">
        <v>708</v>
      </c>
      <c r="C22" s="62"/>
      <c r="D22" s="77"/>
      <c r="E22" s="62"/>
      <c r="F22" s="77"/>
      <c r="G22" s="62"/>
      <c r="H22" s="77"/>
      <c r="I22" s="62"/>
      <c r="J22" s="77"/>
      <c r="K22" s="75"/>
      <c r="L22" s="62"/>
      <c r="M22" s="77"/>
      <c r="N22" s="62"/>
    </row>
    <row r="23" spans="1:14" ht="13" x14ac:dyDescent="0.35">
      <c r="B23" s="130" t="s">
        <v>709</v>
      </c>
      <c r="C23" s="62"/>
      <c r="D23" s="77"/>
      <c r="E23" s="62"/>
      <c r="F23" s="77"/>
      <c r="G23" s="62"/>
      <c r="H23" s="77"/>
      <c r="I23" s="62"/>
      <c r="J23" s="77"/>
      <c r="K23" s="75"/>
      <c r="L23" s="62"/>
      <c r="M23" s="77"/>
      <c r="N23" s="62"/>
    </row>
    <row r="24" spans="1:14" ht="13" x14ac:dyDescent="0.35">
      <c r="B24" s="130" t="s">
        <v>710</v>
      </c>
      <c r="C24" s="62"/>
      <c r="D24" s="77"/>
      <c r="E24" s="62"/>
      <c r="F24" s="77"/>
      <c r="G24" s="62"/>
      <c r="H24" s="77"/>
      <c r="I24" s="62"/>
      <c r="J24" s="77"/>
      <c r="K24" s="75"/>
      <c r="L24" s="62"/>
      <c r="M24" s="77"/>
      <c r="N24" s="62"/>
    </row>
    <row r="25" spans="1:14" ht="13" x14ac:dyDescent="0.35">
      <c r="B25" s="130" t="s">
        <v>711</v>
      </c>
      <c r="C25" s="62"/>
      <c r="D25" s="77"/>
      <c r="E25" s="62"/>
      <c r="F25" s="77"/>
      <c r="G25" s="62"/>
      <c r="H25" s="77"/>
      <c r="I25" s="62"/>
      <c r="J25" s="77"/>
      <c r="K25" s="75"/>
      <c r="L25" s="62"/>
      <c r="M25" s="77"/>
      <c r="N25" s="62"/>
    </row>
    <row r="26" spans="1:14" ht="13" x14ac:dyDescent="0.35">
      <c r="B26" s="130" t="s">
        <v>712</v>
      </c>
      <c r="C26" s="62"/>
      <c r="D26" s="77"/>
      <c r="E26" s="62"/>
      <c r="F26" s="77"/>
      <c r="G26" s="62"/>
      <c r="H26" s="77"/>
      <c r="I26" s="62"/>
      <c r="J26" s="77"/>
      <c r="K26" s="75"/>
      <c r="L26" s="62"/>
      <c r="M26" s="77"/>
      <c r="N26" s="62"/>
    </row>
    <row r="27" spans="1:14" ht="13" x14ac:dyDescent="0.35">
      <c r="B27" s="130" t="s">
        <v>713</v>
      </c>
      <c r="C27" s="62"/>
      <c r="D27" s="77"/>
      <c r="E27" s="62"/>
      <c r="F27" s="77"/>
      <c r="G27" s="62"/>
      <c r="H27" s="77"/>
      <c r="I27" s="62"/>
      <c r="J27" s="77"/>
      <c r="K27" s="75"/>
      <c r="L27" s="62"/>
      <c r="M27" s="77"/>
      <c r="N27" s="62"/>
    </row>
    <row r="28" spans="1:14" ht="13" x14ac:dyDescent="0.35">
      <c r="B28" s="130" t="s">
        <v>714</v>
      </c>
      <c r="C28" s="62"/>
      <c r="D28" s="77"/>
      <c r="E28" s="62"/>
      <c r="F28" s="77"/>
      <c r="G28" s="62"/>
      <c r="H28" s="77"/>
      <c r="I28" s="62"/>
      <c r="J28" s="77"/>
      <c r="K28" s="75"/>
      <c r="L28" s="62"/>
      <c r="M28" s="77"/>
      <c r="N28" s="62"/>
    </row>
    <row r="29" spans="1:14" ht="13" x14ac:dyDescent="0.35">
      <c r="B29" s="130" t="s">
        <v>715</v>
      </c>
      <c r="C29" s="62"/>
      <c r="D29" s="77"/>
      <c r="E29" s="62"/>
      <c r="F29" s="77"/>
      <c r="G29" s="62"/>
      <c r="H29" s="77"/>
      <c r="I29" s="62"/>
      <c r="J29" s="77"/>
      <c r="K29" s="75"/>
      <c r="L29" s="62"/>
      <c r="M29" s="77"/>
      <c r="N29" s="62"/>
    </row>
    <row r="30" spans="1:14" ht="13" x14ac:dyDescent="0.35">
      <c r="B30" s="130" t="s">
        <v>716</v>
      </c>
      <c r="C30" s="62"/>
      <c r="D30" s="77"/>
      <c r="E30" s="62"/>
      <c r="F30" s="77"/>
      <c r="G30" s="62"/>
      <c r="H30" s="77"/>
      <c r="I30" s="62"/>
      <c r="J30" s="77"/>
      <c r="K30" s="75"/>
      <c r="L30" s="62"/>
      <c r="M30" s="77"/>
      <c r="N30" s="62"/>
    </row>
    <row r="31" spans="1:14" ht="13" x14ac:dyDescent="0.35">
      <c r="B31" s="130" t="s">
        <v>717</v>
      </c>
      <c r="C31" s="62"/>
      <c r="D31" s="77"/>
      <c r="E31" s="62"/>
      <c r="F31" s="77"/>
      <c r="G31" s="62"/>
      <c r="H31" s="77"/>
      <c r="I31" s="62"/>
      <c r="J31" s="77"/>
      <c r="K31" s="75"/>
      <c r="L31" s="62"/>
      <c r="M31" s="77"/>
      <c r="N31" s="62"/>
    </row>
    <row r="32" spans="1:14" ht="13" x14ac:dyDescent="0.35">
      <c r="B32" s="130" t="s">
        <v>718</v>
      </c>
      <c r="C32" s="62"/>
      <c r="D32" s="77"/>
      <c r="E32" s="62"/>
      <c r="F32" s="77"/>
      <c r="G32" s="62"/>
      <c r="H32" s="77"/>
      <c r="I32" s="62"/>
      <c r="J32" s="77"/>
      <c r="K32" s="75"/>
      <c r="L32" s="62"/>
      <c r="M32" s="77"/>
      <c r="N32" s="62"/>
    </row>
    <row r="33" spans="1:14" ht="13" x14ac:dyDescent="0.35">
      <c r="B33" s="130" t="s">
        <v>54</v>
      </c>
      <c r="C33" s="62"/>
      <c r="D33" s="77"/>
      <c r="E33" s="62"/>
      <c r="F33" s="77"/>
      <c r="G33" s="62"/>
      <c r="H33" s="77"/>
      <c r="I33" s="62"/>
      <c r="J33" s="77"/>
      <c r="K33" s="75"/>
      <c r="L33" s="62"/>
      <c r="M33" s="77"/>
      <c r="N33" s="62"/>
    </row>
    <row r="34" spans="1:14" x14ac:dyDescent="0.25">
      <c r="C34" s="80"/>
      <c r="D34" s="80"/>
      <c r="E34" s="80"/>
      <c r="F34" s="80"/>
      <c r="G34" s="80"/>
      <c r="H34" s="80"/>
      <c r="I34" s="80"/>
      <c r="J34" s="80"/>
      <c r="K34" s="80"/>
      <c r="M34" s="80"/>
    </row>
    <row r="35" spans="1:14" x14ac:dyDescent="0.25">
      <c r="A35" s="130" t="s">
        <v>18</v>
      </c>
      <c r="B35" s="139" t="s">
        <v>19</v>
      </c>
      <c r="C35" s="80"/>
      <c r="D35" s="80"/>
      <c r="E35" s="80"/>
      <c r="F35" s="80"/>
      <c r="G35" s="80"/>
      <c r="H35" s="80"/>
      <c r="I35" s="80"/>
      <c r="J35" s="80"/>
      <c r="K35" s="80"/>
      <c r="M35" s="80"/>
    </row>
    <row r="36" spans="1:14" ht="13" x14ac:dyDescent="0.35">
      <c r="B36" s="139" t="s">
        <v>128</v>
      </c>
      <c r="C36" s="77"/>
      <c r="D36" s="77"/>
      <c r="E36" s="77"/>
      <c r="F36" s="77"/>
      <c r="G36" s="77"/>
      <c r="H36" s="77"/>
      <c r="I36" s="77"/>
      <c r="J36" s="77"/>
      <c r="K36" s="79"/>
      <c r="L36" s="76"/>
      <c r="M36" s="79"/>
      <c r="N36" s="76"/>
    </row>
    <row r="37" spans="1:14" ht="13" x14ac:dyDescent="0.35">
      <c r="B37" s="130" t="s">
        <v>117</v>
      </c>
      <c r="C37" s="62"/>
      <c r="D37" s="77"/>
      <c r="E37" s="62"/>
      <c r="F37" s="77"/>
      <c r="G37" s="62"/>
      <c r="H37" s="77"/>
      <c r="I37" s="62"/>
      <c r="J37" s="77"/>
      <c r="K37" s="79"/>
      <c r="L37" s="62"/>
      <c r="M37" s="77"/>
      <c r="N37" s="62"/>
    </row>
    <row r="38" spans="1:14" ht="13" x14ac:dyDescent="0.35">
      <c r="B38" s="130" t="s">
        <v>707</v>
      </c>
      <c r="C38" s="62"/>
      <c r="D38" s="77"/>
      <c r="E38" s="62"/>
      <c r="F38" s="77"/>
      <c r="G38" s="62"/>
      <c r="H38" s="77"/>
      <c r="I38" s="62"/>
      <c r="J38" s="77"/>
      <c r="K38" s="79"/>
      <c r="L38" s="62"/>
      <c r="M38" s="77"/>
      <c r="N38" s="62"/>
    </row>
    <row r="39" spans="1:14" ht="13" x14ac:dyDescent="0.35">
      <c r="B39" s="130" t="s">
        <v>708</v>
      </c>
      <c r="C39" s="62"/>
      <c r="D39" s="77"/>
      <c r="E39" s="62"/>
      <c r="F39" s="77"/>
      <c r="G39" s="62"/>
      <c r="H39" s="77"/>
      <c r="I39" s="62"/>
      <c r="J39" s="77"/>
      <c r="K39" s="79"/>
      <c r="L39" s="62"/>
      <c r="M39" s="77"/>
      <c r="N39" s="62"/>
    </row>
    <row r="40" spans="1:14" ht="13" x14ac:dyDescent="0.35">
      <c r="B40" s="141" t="s">
        <v>709</v>
      </c>
      <c r="C40" s="62"/>
      <c r="D40" s="77"/>
      <c r="E40" s="62"/>
      <c r="F40" s="77"/>
      <c r="G40" s="62"/>
      <c r="H40" s="77"/>
      <c r="I40" s="62"/>
      <c r="J40" s="77"/>
      <c r="K40" s="79"/>
      <c r="L40" s="62"/>
      <c r="M40" s="77"/>
      <c r="N40" s="62"/>
    </row>
    <row r="41" spans="1:14" ht="13" x14ac:dyDescent="0.35">
      <c r="B41" s="130" t="s">
        <v>710</v>
      </c>
      <c r="C41" s="62"/>
      <c r="D41" s="77"/>
      <c r="E41" s="62"/>
      <c r="F41" s="77"/>
      <c r="G41" s="62"/>
      <c r="H41" s="77"/>
      <c r="I41" s="62"/>
      <c r="J41" s="77"/>
      <c r="K41" s="79"/>
      <c r="L41" s="62"/>
      <c r="M41" s="77"/>
      <c r="N41" s="62"/>
    </row>
    <row r="42" spans="1:14" ht="13" x14ac:dyDescent="0.35">
      <c r="B42" s="130" t="s">
        <v>711</v>
      </c>
      <c r="C42" s="62"/>
      <c r="D42" s="77"/>
      <c r="E42" s="62"/>
      <c r="F42" s="77"/>
      <c r="G42" s="62"/>
      <c r="H42" s="77"/>
      <c r="I42" s="62"/>
      <c r="J42" s="77"/>
      <c r="K42" s="79"/>
      <c r="L42" s="62"/>
      <c r="M42" s="77"/>
      <c r="N42" s="62"/>
    </row>
    <row r="43" spans="1:14" ht="13" x14ac:dyDescent="0.35">
      <c r="B43" s="130" t="s">
        <v>712</v>
      </c>
      <c r="C43" s="62"/>
      <c r="D43" s="77"/>
      <c r="E43" s="62"/>
      <c r="F43" s="77"/>
      <c r="G43" s="62"/>
      <c r="H43" s="77"/>
      <c r="I43" s="62"/>
      <c r="J43" s="77"/>
      <c r="K43" s="79"/>
      <c r="L43" s="62"/>
      <c r="M43" s="77"/>
      <c r="N43" s="62"/>
    </row>
    <row r="44" spans="1:14" ht="13" x14ac:dyDescent="0.35">
      <c r="B44" s="130" t="s">
        <v>713</v>
      </c>
      <c r="C44" s="62"/>
      <c r="D44" s="77"/>
      <c r="E44" s="62"/>
      <c r="F44" s="77"/>
      <c r="G44" s="62"/>
      <c r="H44" s="77"/>
      <c r="I44" s="62"/>
      <c r="J44" s="77"/>
      <c r="K44" s="79"/>
      <c r="L44" s="62"/>
      <c r="M44" s="77"/>
      <c r="N44" s="62"/>
    </row>
    <row r="45" spans="1:14" ht="13" x14ac:dyDescent="0.35">
      <c r="B45" s="130" t="s">
        <v>714</v>
      </c>
      <c r="C45" s="62"/>
      <c r="D45" s="77"/>
      <c r="E45" s="62"/>
      <c r="F45" s="77"/>
      <c r="G45" s="62"/>
      <c r="H45" s="77"/>
      <c r="I45" s="62"/>
      <c r="J45" s="77"/>
      <c r="K45" s="79"/>
      <c r="L45" s="62"/>
      <c r="M45" s="77"/>
      <c r="N45" s="62"/>
    </row>
    <row r="46" spans="1:14" ht="13" x14ac:dyDescent="0.35">
      <c r="B46" s="130" t="s">
        <v>715</v>
      </c>
      <c r="C46" s="62"/>
      <c r="D46" s="77"/>
      <c r="E46" s="62"/>
      <c r="F46" s="77"/>
      <c r="G46" s="62"/>
      <c r="H46" s="77"/>
      <c r="I46" s="62"/>
      <c r="J46" s="77"/>
      <c r="K46" s="79"/>
      <c r="L46" s="62"/>
      <c r="M46" s="77"/>
      <c r="N46" s="62"/>
    </row>
    <row r="47" spans="1:14" ht="13" x14ac:dyDescent="0.35">
      <c r="B47" s="130" t="s">
        <v>716</v>
      </c>
      <c r="C47" s="62"/>
      <c r="D47" s="77"/>
      <c r="E47" s="62"/>
      <c r="F47" s="77"/>
      <c r="G47" s="62"/>
      <c r="H47" s="77"/>
      <c r="I47" s="62"/>
      <c r="J47" s="77"/>
      <c r="K47" s="79"/>
      <c r="L47" s="62"/>
      <c r="M47" s="77"/>
      <c r="N47" s="62"/>
    </row>
    <row r="48" spans="1:14" ht="13" x14ac:dyDescent="0.35">
      <c r="B48" s="130" t="s">
        <v>717</v>
      </c>
      <c r="C48" s="62"/>
      <c r="D48" s="77"/>
      <c r="E48" s="62"/>
      <c r="F48" s="77"/>
      <c r="G48" s="62"/>
      <c r="H48" s="77"/>
      <c r="I48" s="62"/>
      <c r="J48" s="77"/>
      <c r="K48" s="79"/>
      <c r="L48" s="62"/>
      <c r="M48" s="77"/>
      <c r="N48" s="62"/>
    </row>
    <row r="49" spans="1:14" ht="13" x14ac:dyDescent="0.35">
      <c r="B49" s="130" t="s">
        <v>718</v>
      </c>
      <c r="C49" s="62"/>
      <c r="D49" s="77"/>
      <c r="E49" s="62"/>
      <c r="F49" s="77"/>
      <c r="G49" s="62"/>
      <c r="H49" s="77"/>
      <c r="I49" s="62"/>
      <c r="J49" s="77"/>
      <c r="K49" s="79"/>
      <c r="L49" s="62"/>
      <c r="M49" s="77"/>
      <c r="N49" s="62"/>
    </row>
    <row r="50" spans="1:14" ht="13" x14ac:dyDescent="0.35">
      <c r="B50" s="130" t="s">
        <v>54</v>
      </c>
      <c r="C50" s="62"/>
      <c r="D50" s="77"/>
      <c r="E50" s="62"/>
      <c r="F50" s="77"/>
      <c r="G50" s="62"/>
      <c r="H50" s="77"/>
      <c r="I50" s="62"/>
      <c r="J50" s="77"/>
      <c r="K50" s="79"/>
      <c r="L50" s="62"/>
      <c r="M50" s="77"/>
      <c r="N50" s="62"/>
    </row>
    <row r="51" spans="1:14" ht="13" x14ac:dyDescent="0.35">
      <c r="C51" s="75"/>
      <c r="D51" s="75"/>
      <c r="E51" s="75"/>
      <c r="F51" s="75"/>
      <c r="G51" s="75"/>
      <c r="H51" s="75"/>
      <c r="I51" s="75"/>
      <c r="J51" s="75"/>
      <c r="K51" s="75"/>
      <c r="L51" s="142"/>
      <c r="M51" s="75"/>
      <c r="N51" s="142"/>
    </row>
    <row r="52" spans="1:14" ht="13" x14ac:dyDescent="0.35">
      <c r="A52" s="130" t="s">
        <v>20</v>
      </c>
      <c r="B52" s="139" t="s">
        <v>21</v>
      </c>
      <c r="C52" s="75"/>
      <c r="D52" s="75"/>
      <c r="E52" s="75"/>
      <c r="F52" s="75"/>
      <c r="G52" s="75"/>
      <c r="H52" s="75"/>
      <c r="I52" s="75"/>
      <c r="J52" s="75"/>
      <c r="K52" s="75"/>
      <c r="L52" s="142"/>
      <c r="M52" s="75"/>
      <c r="N52" s="142"/>
    </row>
    <row r="53" spans="1:14" ht="13" x14ac:dyDescent="0.35">
      <c r="B53" s="139" t="s">
        <v>129</v>
      </c>
      <c r="C53" s="77"/>
      <c r="D53" s="77"/>
      <c r="E53" s="77"/>
      <c r="F53" s="77"/>
      <c r="G53" s="77"/>
      <c r="H53" s="77"/>
      <c r="I53" s="77"/>
      <c r="J53" s="77"/>
      <c r="K53" s="79"/>
      <c r="L53" s="76"/>
      <c r="M53" s="79"/>
      <c r="N53" s="76"/>
    </row>
    <row r="54" spans="1:14" ht="13" x14ac:dyDescent="0.35">
      <c r="B54" s="130" t="s">
        <v>117</v>
      </c>
      <c r="C54" s="62"/>
      <c r="D54" s="77"/>
      <c r="E54" s="62"/>
      <c r="F54" s="77"/>
      <c r="G54" s="62"/>
      <c r="H54" s="77"/>
      <c r="I54" s="62"/>
      <c r="J54" s="77"/>
      <c r="K54" s="79"/>
      <c r="L54" s="62"/>
      <c r="M54" s="77"/>
      <c r="N54" s="62"/>
    </row>
    <row r="55" spans="1:14" ht="13" x14ac:dyDescent="0.35">
      <c r="B55" s="130" t="s">
        <v>707</v>
      </c>
      <c r="C55" s="62"/>
      <c r="D55" s="77"/>
      <c r="E55" s="62"/>
      <c r="F55" s="77"/>
      <c r="G55" s="62"/>
      <c r="H55" s="77"/>
      <c r="I55" s="62"/>
      <c r="J55" s="77"/>
      <c r="K55" s="79"/>
      <c r="L55" s="62"/>
      <c r="M55" s="77"/>
      <c r="N55" s="62"/>
    </row>
    <row r="56" spans="1:14" ht="13" x14ac:dyDescent="0.35">
      <c r="B56" s="130" t="s">
        <v>708</v>
      </c>
      <c r="C56" s="62"/>
      <c r="D56" s="77"/>
      <c r="E56" s="62"/>
      <c r="F56" s="77"/>
      <c r="G56" s="62"/>
      <c r="H56" s="77"/>
      <c r="I56" s="62"/>
      <c r="J56" s="77"/>
      <c r="K56" s="79"/>
      <c r="L56" s="62"/>
      <c r="M56" s="77"/>
      <c r="N56" s="62"/>
    </row>
    <row r="57" spans="1:14" ht="13" x14ac:dyDescent="0.35">
      <c r="B57" s="141" t="s">
        <v>709</v>
      </c>
      <c r="C57" s="62"/>
      <c r="D57" s="79"/>
      <c r="E57" s="62"/>
      <c r="F57" s="77"/>
      <c r="G57" s="62"/>
      <c r="H57" s="77"/>
      <c r="I57" s="62"/>
      <c r="J57" s="77"/>
      <c r="K57" s="79"/>
      <c r="L57" s="62"/>
      <c r="M57" s="79"/>
      <c r="N57" s="62"/>
    </row>
    <row r="58" spans="1:14" ht="13" x14ac:dyDescent="0.35">
      <c r="B58" s="130" t="s">
        <v>710</v>
      </c>
      <c r="C58" s="62"/>
      <c r="D58" s="79"/>
      <c r="E58" s="62"/>
      <c r="F58" s="77"/>
      <c r="G58" s="62"/>
      <c r="H58" s="77"/>
      <c r="I58" s="62"/>
      <c r="J58" s="77"/>
      <c r="K58" s="79"/>
      <c r="L58" s="62"/>
      <c r="M58" s="79"/>
      <c r="N58" s="62"/>
    </row>
    <row r="59" spans="1:14" ht="13" x14ac:dyDescent="0.35">
      <c r="B59" s="130" t="s">
        <v>711</v>
      </c>
      <c r="C59" s="62"/>
      <c r="D59" s="79"/>
      <c r="E59" s="62"/>
      <c r="F59" s="77"/>
      <c r="G59" s="62"/>
      <c r="H59" s="77"/>
      <c r="I59" s="62"/>
      <c r="J59" s="77"/>
      <c r="K59" s="79"/>
      <c r="L59" s="62"/>
      <c r="M59" s="79"/>
      <c r="N59" s="62"/>
    </row>
    <row r="60" spans="1:14" ht="13" x14ac:dyDescent="0.35">
      <c r="B60" s="130" t="s">
        <v>712</v>
      </c>
      <c r="C60" s="62"/>
      <c r="D60" s="79"/>
      <c r="E60" s="62"/>
      <c r="F60" s="77"/>
      <c r="G60" s="62"/>
      <c r="H60" s="77"/>
      <c r="I60" s="62"/>
      <c r="J60" s="77"/>
      <c r="K60" s="79"/>
      <c r="L60" s="62"/>
      <c r="M60" s="79"/>
      <c r="N60" s="62"/>
    </row>
    <row r="61" spans="1:14" ht="13" x14ac:dyDescent="0.35">
      <c r="B61" s="130" t="s">
        <v>713</v>
      </c>
      <c r="C61" s="62"/>
      <c r="D61" s="79"/>
      <c r="E61" s="62"/>
      <c r="F61" s="77"/>
      <c r="G61" s="62"/>
      <c r="H61" s="77"/>
      <c r="I61" s="62"/>
      <c r="J61" s="77"/>
      <c r="K61" s="79"/>
      <c r="L61" s="62"/>
      <c r="M61" s="79"/>
      <c r="N61" s="62"/>
    </row>
    <row r="62" spans="1:14" ht="13" x14ac:dyDescent="0.35">
      <c r="B62" s="130" t="s">
        <v>714</v>
      </c>
      <c r="C62" s="62"/>
      <c r="D62" s="77"/>
      <c r="E62" s="62"/>
      <c r="F62" s="77"/>
      <c r="G62" s="62"/>
      <c r="H62" s="77"/>
      <c r="I62" s="62"/>
      <c r="J62" s="77"/>
      <c r="K62" s="79"/>
      <c r="L62" s="62"/>
      <c r="M62" s="77"/>
      <c r="N62" s="62"/>
    </row>
    <row r="63" spans="1:14" ht="13" x14ac:dyDescent="0.35">
      <c r="B63" s="130" t="s">
        <v>715</v>
      </c>
      <c r="C63" s="62"/>
      <c r="D63" s="77"/>
      <c r="E63" s="62"/>
      <c r="F63" s="77"/>
      <c r="G63" s="62"/>
      <c r="H63" s="77"/>
      <c r="I63" s="62"/>
      <c r="J63" s="77"/>
      <c r="K63" s="79"/>
      <c r="L63" s="62"/>
      <c r="M63" s="77"/>
      <c r="N63" s="62"/>
    </row>
    <row r="64" spans="1:14" ht="13" x14ac:dyDescent="0.35">
      <c r="B64" s="130" t="s">
        <v>716</v>
      </c>
      <c r="C64" s="62"/>
      <c r="D64" s="77"/>
      <c r="E64" s="62"/>
      <c r="F64" s="77"/>
      <c r="G64" s="62"/>
      <c r="H64" s="77"/>
      <c r="I64" s="62"/>
      <c r="J64" s="77"/>
      <c r="K64" s="79"/>
      <c r="L64" s="62"/>
      <c r="M64" s="77"/>
      <c r="N64" s="62"/>
    </row>
    <row r="65" spans="1:14" ht="13" x14ac:dyDescent="0.35">
      <c r="B65" s="130" t="s">
        <v>717</v>
      </c>
      <c r="C65" s="62"/>
      <c r="D65" s="77"/>
      <c r="E65" s="62"/>
      <c r="F65" s="77"/>
      <c r="G65" s="62"/>
      <c r="H65" s="77"/>
      <c r="I65" s="62"/>
      <c r="J65" s="77"/>
      <c r="K65" s="79"/>
      <c r="L65" s="62"/>
      <c r="M65" s="77"/>
      <c r="N65" s="62"/>
    </row>
    <row r="66" spans="1:14" ht="13" x14ac:dyDescent="0.35">
      <c r="B66" s="130" t="s">
        <v>718</v>
      </c>
      <c r="C66" s="62"/>
      <c r="D66" s="77"/>
      <c r="E66" s="62"/>
      <c r="F66" s="77"/>
      <c r="G66" s="62"/>
      <c r="H66" s="77"/>
      <c r="I66" s="62"/>
      <c r="J66" s="77"/>
      <c r="K66" s="79"/>
      <c r="L66" s="62"/>
      <c r="M66" s="77"/>
      <c r="N66" s="62"/>
    </row>
    <row r="67" spans="1:14" ht="13" x14ac:dyDescent="0.35">
      <c r="B67" s="130" t="s">
        <v>54</v>
      </c>
      <c r="C67" s="62"/>
      <c r="D67" s="77"/>
      <c r="E67" s="62"/>
      <c r="F67" s="77"/>
      <c r="G67" s="62"/>
      <c r="H67" s="77"/>
      <c r="I67" s="62"/>
      <c r="J67" s="77"/>
      <c r="K67" s="79"/>
      <c r="L67" s="62"/>
      <c r="M67" s="77"/>
      <c r="N67" s="62"/>
    </row>
    <row r="68" spans="1:14" x14ac:dyDescent="0.25">
      <c r="C68" s="80"/>
      <c r="D68" s="80"/>
      <c r="E68" s="80"/>
      <c r="F68" s="80"/>
      <c r="G68" s="80"/>
      <c r="H68" s="80"/>
      <c r="I68" s="80"/>
      <c r="J68" s="80"/>
      <c r="K68" s="80"/>
      <c r="M68" s="80"/>
    </row>
    <row r="69" spans="1:14" x14ac:dyDescent="0.25">
      <c r="A69" s="130" t="s">
        <v>22</v>
      </c>
      <c r="B69" s="139" t="s">
        <v>23</v>
      </c>
      <c r="C69" s="80"/>
      <c r="D69" s="80"/>
      <c r="E69" s="80"/>
      <c r="F69" s="80"/>
      <c r="G69" s="80"/>
      <c r="H69" s="80"/>
      <c r="I69" s="80"/>
      <c r="J69" s="80"/>
      <c r="K69" s="80"/>
      <c r="M69" s="80"/>
    </row>
    <row r="70" spans="1:14" ht="13" x14ac:dyDescent="0.35">
      <c r="B70" s="139" t="s">
        <v>129</v>
      </c>
      <c r="C70" s="77"/>
      <c r="D70" s="77"/>
      <c r="E70" s="77"/>
      <c r="F70" s="77"/>
      <c r="G70" s="77"/>
      <c r="H70" s="77"/>
      <c r="I70" s="77"/>
      <c r="J70" s="77"/>
      <c r="K70" s="79"/>
      <c r="L70" s="76"/>
      <c r="M70" s="79"/>
      <c r="N70" s="76"/>
    </row>
    <row r="71" spans="1:14" ht="13" x14ac:dyDescent="0.35">
      <c r="B71" s="130" t="s">
        <v>117</v>
      </c>
      <c r="C71" s="62"/>
      <c r="D71" s="77"/>
      <c r="E71" s="62"/>
      <c r="F71" s="77"/>
      <c r="G71" s="62"/>
      <c r="H71" s="77"/>
      <c r="I71" s="62"/>
      <c r="J71" s="77"/>
      <c r="K71" s="79"/>
      <c r="L71" s="62"/>
      <c r="M71" s="77"/>
      <c r="N71" s="62"/>
    </row>
    <row r="72" spans="1:14" ht="13" x14ac:dyDescent="0.35">
      <c r="B72" s="130" t="s">
        <v>707</v>
      </c>
      <c r="C72" s="62"/>
      <c r="D72" s="77"/>
      <c r="E72" s="62"/>
      <c r="F72" s="77"/>
      <c r="G72" s="62"/>
      <c r="H72" s="77"/>
      <c r="I72" s="62"/>
      <c r="J72" s="77"/>
      <c r="K72" s="79"/>
      <c r="L72" s="62"/>
      <c r="M72" s="77"/>
      <c r="N72" s="62"/>
    </row>
    <row r="73" spans="1:14" ht="13" x14ac:dyDescent="0.35">
      <c r="B73" s="130" t="s">
        <v>708</v>
      </c>
      <c r="C73" s="62"/>
      <c r="D73" s="77"/>
      <c r="E73" s="62"/>
      <c r="F73" s="77"/>
      <c r="G73" s="62"/>
      <c r="H73" s="77"/>
      <c r="I73" s="62"/>
      <c r="J73" s="77"/>
      <c r="K73" s="79"/>
      <c r="L73" s="62"/>
      <c r="M73" s="77"/>
      <c r="N73" s="62"/>
    </row>
    <row r="74" spans="1:14" ht="13" x14ac:dyDescent="0.35">
      <c r="B74" s="141" t="s">
        <v>709</v>
      </c>
      <c r="C74" s="62"/>
      <c r="D74" s="77"/>
      <c r="E74" s="62"/>
      <c r="F74" s="77"/>
      <c r="G74" s="62"/>
      <c r="H74" s="77"/>
      <c r="I74" s="62"/>
      <c r="J74" s="77"/>
      <c r="K74" s="79"/>
      <c r="L74" s="62"/>
      <c r="M74" s="77"/>
      <c r="N74" s="62"/>
    </row>
    <row r="75" spans="1:14" ht="13" x14ac:dyDescent="0.35">
      <c r="B75" s="130" t="s">
        <v>710</v>
      </c>
      <c r="C75" s="62"/>
      <c r="D75" s="79"/>
      <c r="E75" s="62"/>
      <c r="F75" s="77"/>
      <c r="G75" s="62"/>
      <c r="H75" s="77"/>
      <c r="I75" s="62"/>
      <c r="J75" s="77"/>
      <c r="K75" s="79"/>
      <c r="L75" s="62"/>
      <c r="M75" s="79"/>
      <c r="N75" s="62"/>
    </row>
    <row r="76" spans="1:14" ht="13" x14ac:dyDescent="0.35">
      <c r="B76" s="130" t="s">
        <v>711</v>
      </c>
      <c r="C76" s="62"/>
      <c r="D76" s="79"/>
      <c r="E76" s="62"/>
      <c r="F76" s="77"/>
      <c r="G76" s="62"/>
      <c r="H76" s="77"/>
      <c r="I76" s="62"/>
      <c r="J76" s="77"/>
      <c r="K76" s="79"/>
      <c r="L76" s="62"/>
      <c r="M76" s="79"/>
      <c r="N76" s="62"/>
    </row>
    <row r="77" spans="1:14" ht="13" x14ac:dyDescent="0.35">
      <c r="B77" s="130" t="s">
        <v>712</v>
      </c>
      <c r="C77" s="62"/>
      <c r="D77" s="79"/>
      <c r="E77" s="62"/>
      <c r="F77" s="77"/>
      <c r="G77" s="62"/>
      <c r="H77" s="77"/>
      <c r="I77" s="62"/>
      <c r="J77" s="77"/>
      <c r="K77" s="79"/>
      <c r="L77" s="62"/>
      <c r="M77" s="79"/>
      <c r="N77" s="62"/>
    </row>
    <row r="78" spans="1:14" ht="13" x14ac:dyDescent="0.35">
      <c r="B78" s="130" t="s">
        <v>713</v>
      </c>
      <c r="C78" s="62"/>
      <c r="D78" s="79"/>
      <c r="E78" s="62"/>
      <c r="F78" s="77"/>
      <c r="G78" s="62"/>
      <c r="H78" s="77"/>
      <c r="I78" s="62"/>
      <c r="J78" s="77"/>
      <c r="K78" s="79"/>
      <c r="L78" s="62"/>
      <c r="M78" s="79"/>
      <c r="N78" s="62"/>
    </row>
    <row r="79" spans="1:14" ht="13" x14ac:dyDescent="0.35">
      <c r="B79" s="130" t="s">
        <v>714</v>
      </c>
      <c r="C79" s="62"/>
      <c r="D79" s="77"/>
      <c r="E79" s="62"/>
      <c r="F79" s="77"/>
      <c r="G79" s="62"/>
      <c r="H79" s="77"/>
      <c r="I79" s="62"/>
      <c r="J79" s="77"/>
      <c r="K79" s="79"/>
      <c r="L79" s="62"/>
      <c r="M79" s="77"/>
      <c r="N79" s="62"/>
    </row>
    <row r="80" spans="1:14" ht="13" x14ac:dyDescent="0.35">
      <c r="B80" s="130" t="s">
        <v>715</v>
      </c>
      <c r="C80" s="62"/>
      <c r="D80" s="77"/>
      <c r="E80" s="62"/>
      <c r="F80" s="77"/>
      <c r="G80" s="62"/>
      <c r="H80" s="77"/>
      <c r="I80" s="62"/>
      <c r="J80" s="77"/>
      <c r="K80" s="79"/>
      <c r="L80" s="62"/>
      <c r="M80" s="77"/>
      <c r="N80" s="62"/>
    </row>
    <row r="81" spans="1:14" ht="13" x14ac:dyDescent="0.35">
      <c r="B81" s="130" t="s">
        <v>716</v>
      </c>
      <c r="C81" s="62"/>
      <c r="D81" s="77"/>
      <c r="E81" s="62"/>
      <c r="F81" s="77"/>
      <c r="G81" s="62"/>
      <c r="H81" s="77"/>
      <c r="I81" s="62"/>
      <c r="J81" s="77"/>
      <c r="K81" s="79"/>
      <c r="L81" s="62"/>
      <c r="M81" s="77"/>
      <c r="N81" s="62"/>
    </row>
    <row r="82" spans="1:14" ht="13" x14ac:dyDescent="0.35">
      <c r="B82" s="130" t="s">
        <v>717</v>
      </c>
      <c r="C82" s="62"/>
      <c r="D82" s="77"/>
      <c r="E82" s="62"/>
      <c r="F82" s="77"/>
      <c r="G82" s="62"/>
      <c r="H82" s="77"/>
      <c r="I82" s="62"/>
      <c r="J82" s="77"/>
      <c r="K82" s="79"/>
      <c r="L82" s="62"/>
      <c r="M82" s="77"/>
      <c r="N82" s="62"/>
    </row>
    <row r="83" spans="1:14" ht="13" x14ac:dyDescent="0.35">
      <c r="B83" s="130" t="s">
        <v>718</v>
      </c>
      <c r="C83" s="62"/>
      <c r="D83" s="77"/>
      <c r="E83" s="62"/>
      <c r="F83" s="77"/>
      <c r="G83" s="62"/>
      <c r="H83" s="77"/>
      <c r="I83" s="62"/>
      <c r="J83" s="77"/>
      <c r="K83" s="79"/>
      <c r="L83" s="62"/>
      <c r="M83" s="77"/>
      <c r="N83" s="62"/>
    </row>
    <row r="84" spans="1:14" ht="13" x14ac:dyDescent="0.35">
      <c r="B84" s="130" t="s">
        <v>54</v>
      </c>
      <c r="C84" s="62"/>
      <c r="D84" s="77"/>
      <c r="E84" s="62"/>
      <c r="F84" s="77"/>
      <c r="G84" s="62"/>
      <c r="H84" s="77"/>
      <c r="I84" s="62"/>
      <c r="J84" s="77"/>
      <c r="K84" s="79"/>
      <c r="L84" s="62"/>
      <c r="M84" s="77"/>
      <c r="N84" s="62"/>
    </row>
    <row r="85" spans="1:14" ht="13" x14ac:dyDescent="0.35">
      <c r="C85" s="75"/>
      <c r="D85" s="75"/>
      <c r="E85" s="75"/>
      <c r="F85" s="75"/>
      <c r="G85" s="75"/>
      <c r="H85" s="75"/>
      <c r="I85" s="75"/>
      <c r="J85" s="75"/>
      <c r="K85" s="75"/>
      <c r="L85" s="142"/>
      <c r="M85" s="75"/>
      <c r="N85" s="142"/>
    </row>
    <row r="86" spans="1:14" ht="13" x14ac:dyDescent="0.35">
      <c r="A86" s="130" t="s">
        <v>24</v>
      </c>
      <c r="B86" s="139" t="s">
        <v>25</v>
      </c>
      <c r="C86" s="77"/>
      <c r="D86" s="77"/>
      <c r="E86" s="77"/>
      <c r="F86" s="77"/>
      <c r="G86" s="77"/>
      <c r="H86" s="77"/>
      <c r="I86" s="77"/>
      <c r="J86" s="77"/>
      <c r="K86" s="79"/>
      <c r="L86" s="76"/>
      <c r="M86" s="79"/>
      <c r="N86" s="76"/>
    </row>
    <row r="87" spans="1:14" ht="13" x14ac:dyDescent="0.35">
      <c r="B87" s="130" t="s">
        <v>117</v>
      </c>
      <c r="C87" s="62"/>
      <c r="D87" s="79"/>
      <c r="E87" s="62"/>
      <c r="F87" s="77"/>
      <c r="G87" s="62"/>
      <c r="H87" s="77"/>
      <c r="I87" s="62"/>
      <c r="J87" s="77"/>
      <c r="K87" s="79"/>
      <c r="L87" s="62"/>
      <c r="M87" s="79"/>
      <c r="N87" s="62"/>
    </row>
    <row r="88" spans="1:14" ht="13" x14ac:dyDescent="0.35">
      <c r="B88" s="130" t="s">
        <v>707</v>
      </c>
      <c r="C88" s="62"/>
      <c r="D88" s="79"/>
      <c r="E88" s="62"/>
      <c r="F88" s="77"/>
      <c r="G88" s="62"/>
      <c r="H88" s="77"/>
      <c r="I88" s="62"/>
      <c r="J88" s="77"/>
      <c r="K88" s="79"/>
      <c r="L88" s="62"/>
      <c r="M88" s="79"/>
      <c r="N88" s="62"/>
    </row>
    <row r="89" spans="1:14" ht="13" x14ac:dyDescent="0.35">
      <c r="B89" s="130" t="s">
        <v>708</v>
      </c>
      <c r="C89" s="62"/>
      <c r="D89" s="79"/>
      <c r="E89" s="62"/>
      <c r="F89" s="77"/>
      <c r="G89" s="62"/>
      <c r="H89" s="77"/>
      <c r="I89" s="62"/>
      <c r="J89" s="77"/>
      <c r="K89" s="79"/>
      <c r="L89" s="62"/>
      <c r="M89" s="79"/>
      <c r="N89" s="62"/>
    </row>
    <row r="90" spans="1:14" ht="13" x14ac:dyDescent="0.35">
      <c r="B90" s="141" t="s">
        <v>709</v>
      </c>
      <c r="C90" s="62"/>
      <c r="D90" s="79"/>
      <c r="E90" s="62"/>
      <c r="F90" s="77"/>
      <c r="G90" s="62"/>
      <c r="H90" s="77"/>
      <c r="I90" s="62"/>
      <c r="J90" s="77"/>
      <c r="K90" s="79"/>
      <c r="L90" s="62"/>
      <c r="M90" s="79"/>
      <c r="N90" s="62"/>
    </row>
    <row r="91" spans="1:14" ht="13" x14ac:dyDescent="0.35">
      <c r="B91" s="130" t="s">
        <v>710</v>
      </c>
      <c r="C91" s="62"/>
      <c r="D91" s="79"/>
      <c r="E91" s="62"/>
      <c r="F91" s="77"/>
      <c r="G91" s="62"/>
      <c r="H91" s="77"/>
      <c r="I91" s="62"/>
      <c r="J91" s="77"/>
      <c r="K91" s="79"/>
      <c r="L91" s="62"/>
      <c r="M91" s="79"/>
      <c r="N91" s="62"/>
    </row>
    <row r="92" spans="1:14" ht="13" x14ac:dyDescent="0.35">
      <c r="B92" s="130" t="s">
        <v>711</v>
      </c>
      <c r="C92" s="62"/>
      <c r="D92" s="79"/>
      <c r="E92" s="62"/>
      <c r="F92" s="77"/>
      <c r="G92" s="62"/>
      <c r="H92" s="77"/>
      <c r="I92" s="62"/>
      <c r="J92" s="77"/>
      <c r="K92" s="79"/>
      <c r="L92" s="62"/>
      <c r="M92" s="79"/>
      <c r="N92" s="62"/>
    </row>
    <row r="93" spans="1:14" ht="13" x14ac:dyDescent="0.35">
      <c r="B93" s="130" t="s">
        <v>712</v>
      </c>
      <c r="C93" s="62"/>
      <c r="D93" s="79"/>
      <c r="E93" s="62"/>
      <c r="F93" s="77"/>
      <c r="G93" s="62"/>
      <c r="H93" s="77"/>
      <c r="I93" s="62"/>
      <c r="J93" s="77"/>
      <c r="K93" s="79"/>
      <c r="L93" s="62"/>
      <c r="M93" s="79"/>
      <c r="N93" s="62"/>
    </row>
    <row r="94" spans="1:14" ht="13" x14ac:dyDescent="0.35">
      <c r="B94" s="130" t="s">
        <v>713</v>
      </c>
      <c r="C94" s="62"/>
      <c r="D94" s="79"/>
      <c r="E94" s="62"/>
      <c r="F94" s="77"/>
      <c r="G94" s="62"/>
      <c r="H94" s="77"/>
      <c r="I94" s="62"/>
      <c r="J94" s="77"/>
      <c r="K94" s="79"/>
      <c r="L94" s="62"/>
      <c r="M94" s="79"/>
      <c r="N94" s="62"/>
    </row>
    <row r="95" spans="1:14" ht="13" x14ac:dyDescent="0.35">
      <c r="B95" s="130" t="s">
        <v>714</v>
      </c>
      <c r="C95" s="62"/>
      <c r="D95" s="79"/>
      <c r="E95" s="62"/>
      <c r="F95" s="77"/>
      <c r="G95" s="62"/>
      <c r="H95" s="77"/>
      <c r="I95" s="62"/>
      <c r="J95" s="77"/>
      <c r="K95" s="79"/>
      <c r="L95" s="62"/>
      <c r="M95" s="79"/>
      <c r="N95" s="62"/>
    </row>
    <row r="96" spans="1:14" ht="13" x14ac:dyDescent="0.35">
      <c r="B96" s="130" t="s">
        <v>715</v>
      </c>
      <c r="C96" s="62"/>
      <c r="D96" s="79"/>
      <c r="E96" s="62"/>
      <c r="F96" s="77"/>
      <c r="G96" s="62"/>
      <c r="H96" s="77"/>
      <c r="I96" s="62"/>
      <c r="J96" s="77"/>
      <c r="K96" s="79"/>
      <c r="L96" s="62"/>
      <c r="M96" s="79"/>
      <c r="N96" s="62"/>
    </row>
    <row r="97" spans="2:21" ht="13" x14ac:dyDescent="0.35">
      <c r="B97" s="130" t="s">
        <v>716</v>
      </c>
      <c r="C97" s="62"/>
      <c r="D97" s="79"/>
      <c r="E97" s="62"/>
      <c r="F97" s="77"/>
      <c r="G97" s="62"/>
      <c r="H97" s="77"/>
      <c r="I97" s="62"/>
      <c r="J97" s="77"/>
      <c r="K97" s="79"/>
      <c r="L97" s="62"/>
      <c r="M97" s="79"/>
      <c r="N97" s="62"/>
    </row>
    <row r="98" spans="2:21" ht="13" x14ac:dyDescent="0.35">
      <c r="B98" s="130" t="s">
        <v>717</v>
      </c>
      <c r="C98" s="62"/>
      <c r="D98" s="79"/>
      <c r="E98" s="62"/>
      <c r="F98" s="77"/>
      <c r="G98" s="62"/>
      <c r="H98" s="77"/>
      <c r="I98" s="62"/>
      <c r="J98" s="77"/>
      <c r="K98" s="79"/>
      <c r="L98" s="62"/>
      <c r="M98" s="79"/>
      <c r="N98" s="62"/>
    </row>
    <row r="99" spans="2:21" ht="13" x14ac:dyDescent="0.35">
      <c r="B99" s="130" t="s">
        <v>718</v>
      </c>
      <c r="C99" s="62"/>
      <c r="D99" s="79"/>
      <c r="E99" s="62"/>
      <c r="F99" s="77"/>
      <c r="G99" s="62"/>
      <c r="H99" s="77"/>
      <c r="I99" s="62"/>
      <c r="J99" s="77"/>
      <c r="K99" s="79"/>
      <c r="L99" s="62"/>
      <c r="M99" s="79"/>
      <c r="N99" s="62"/>
    </row>
    <row r="100" spans="2:21" ht="13" x14ac:dyDescent="0.35">
      <c r="B100" s="130" t="s">
        <v>54</v>
      </c>
      <c r="C100" s="62"/>
      <c r="D100" s="79"/>
      <c r="E100" s="62"/>
      <c r="F100" s="77"/>
      <c r="G100" s="62"/>
      <c r="H100" s="77"/>
      <c r="I100" s="62"/>
      <c r="J100" s="77"/>
      <c r="K100" s="79"/>
      <c r="L100" s="62"/>
      <c r="M100" s="79"/>
      <c r="N100" s="62"/>
    </row>
    <row r="101" spans="2:21" ht="13" x14ac:dyDescent="0.35">
      <c r="C101" s="75"/>
      <c r="D101" s="75"/>
      <c r="E101" s="75"/>
      <c r="F101" s="75"/>
      <c r="G101" s="75"/>
      <c r="H101" s="75"/>
      <c r="I101" s="75"/>
      <c r="J101" s="75"/>
      <c r="K101" s="75"/>
      <c r="L101" s="142"/>
      <c r="M101" s="75"/>
      <c r="N101" s="142"/>
    </row>
    <row r="102" spans="2:21" ht="13" x14ac:dyDescent="0.35">
      <c r="B102" s="136" t="s">
        <v>27</v>
      </c>
      <c r="C102" s="124">
        <f>SUM(C20:C101)</f>
        <v>0</v>
      </c>
      <c r="D102" s="143"/>
      <c r="E102" s="124">
        <f>SUM(E20:E101)</f>
        <v>0</v>
      </c>
      <c r="F102" s="143"/>
      <c r="G102" s="124">
        <f>SUM(G20:G101)</f>
        <v>0</v>
      </c>
      <c r="H102" s="143"/>
      <c r="I102" s="124">
        <f>SUM(I20:I101)</f>
        <v>0</v>
      </c>
      <c r="J102" s="143"/>
      <c r="K102" s="143"/>
      <c r="L102" s="124">
        <f>SUM(L20:L101)</f>
        <v>0</v>
      </c>
      <c r="M102" s="143"/>
      <c r="N102" s="124">
        <f>SUM(N20:N101)</f>
        <v>0</v>
      </c>
    </row>
    <row r="103" spans="2:21" x14ac:dyDescent="0.25">
      <c r="R103" s="130" t="s">
        <v>26</v>
      </c>
      <c r="S103" s="130" t="s">
        <v>26</v>
      </c>
      <c r="T103" s="130" t="s">
        <v>26</v>
      </c>
      <c r="U103" s="130" t="s">
        <v>26</v>
      </c>
    </row>
    <row r="104" spans="2:21" x14ac:dyDescent="0.25">
      <c r="R104" s="130" t="s">
        <v>26</v>
      </c>
      <c r="S104" s="130" t="s">
        <v>26</v>
      </c>
      <c r="T104" s="130" t="s">
        <v>26</v>
      </c>
      <c r="U104" s="130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bers/decimal only)" sqref="C20:C33 E20:E33 G20:G33 I20:I33 L20:L33 N20:N33 C37:C50 E37:E50 G37:G50 I37:I50 L37:L50 N37:N50 C54:C67 E54:E67 G54:G67 I54:I67 L54:L67 N54:N67 C71:C84 E71:E84 G71:G84 I71:I84 L71:L84 N71:N84 C87:C100 E87:E100 G87:G100 I87:I100 L87:L100 N87:N100">
      <formula1>0</formula1>
      <formula2>9.99999999999999E+33</formula2>
    </dataValidation>
  </dataValidations>
  <printOptions horizontalCentered="1" gridLinesSet="0"/>
  <pageMargins left="0" right="0" top="0.41" bottom="0.36" header="0.17" footer="0.28000000000000003"/>
  <pageSetup paperSize="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2:U58"/>
  <sheetViews>
    <sheetView showGridLines="0" workbookViewId="0">
      <selection activeCell="N51" sqref="N51"/>
    </sheetView>
  </sheetViews>
  <sheetFormatPr defaultColWidth="8.8984375" defaultRowHeight="10.5" x14ac:dyDescent="0.25"/>
  <cols>
    <col min="1" max="1" width="2" style="130" customWidth="1"/>
    <col min="2" max="2" width="16.69921875" style="130" customWidth="1"/>
    <col min="3" max="3" width="5.8984375" style="130" customWidth="1"/>
    <col min="4" max="4" width="1.69921875" style="130" customWidth="1"/>
    <col min="5" max="5" width="12.09765625" style="130" customWidth="1"/>
    <col min="6" max="6" width="1.69921875" style="130" customWidth="1"/>
    <col min="7" max="7" width="5.8984375" style="130" customWidth="1"/>
    <col min="8" max="8" width="1.69921875" style="130" customWidth="1"/>
    <col min="9" max="9" width="12.09765625" style="130" customWidth="1"/>
    <col min="10" max="11" width="1.69921875" style="130" customWidth="1"/>
    <col min="12" max="12" width="5.8984375" style="130" customWidth="1"/>
    <col min="13" max="13" width="1.69921875" style="130" customWidth="1"/>
    <col min="14" max="14" width="13.3984375" style="130" customWidth="1"/>
    <col min="15" max="16384" width="8.8984375" style="130"/>
  </cols>
  <sheetData>
    <row r="2" spans="1:14" x14ac:dyDescent="0.25">
      <c r="A2" s="126"/>
      <c r="B2" s="127"/>
      <c r="C2" s="127"/>
      <c r="D2" s="127"/>
      <c r="E2" s="127"/>
      <c r="F2" s="127"/>
      <c r="G2" s="127"/>
      <c r="H2" s="127"/>
      <c r="I2" s="80"/>
      <c r="J2" s="80"/>
      <c r="K2" s="127"/>
      <c r="L2" s="127"/>
      <c r="M2" s="127"/>
      <c r="N2" s="144" t="s">
        <v>748</v>
      </c>
    </row>
    <row r="3" spans="1:14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5">
      <c r="A4" s="131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5">
      <c r="A5" s="13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131" t="s">
        <v>734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132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31" t="s">
        <v>749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11" spans="1:14" x14ac:dyDescent="0.25">
      <c r="B11" s="133"/>
      <c r="C11" s="77"/>
    </row>
    <row r="12" spans="1:14" x14ac:dyDescent="0.25">
      <c r="C12" s="134" t="s">
        <v>4</v>
      </c>
      <c r="D12" s="134"/>
      <c r="E12" s="127"/>
      <c r="F12" s="127"/>
      <c r="G12" s="134" t="s">
        <v>118</v>
      </c>
      <c r="H12" s="134"/>
      <c r="I12" s="127"/>
      <c r="J12" s="127"/>
      <c r="K12" s="127"/>
      <c r="L12" s="134" t="s">
        <v>103</v>
      </c>
      <c r="M12" s="134"/>
      <c r="N12" s="127"/>
    </row>
    <row r="13" spans="1:14" x14ac:dyDescent="0.25">
      <c r="C13" s="134" t="s">
        <v>9</v>
      </c>
      <c r="D13" s="134"/>
      <c r="E13" s="127"/>
      <c r="F13" s="127"/>
      <c r="G13" s="134" t="s">
        <v>8</v>
      </c>
      <c r="H13" s="134"/>
      <c r="I13" s="127"/>
      <c r="J13" s="127"/>
      <c r="K13" s="127"/>
      <c r="L13" s="134" t="s">
        <v>9</v>
      </c>
      <c r="M13" s="134"/>
      <c r="N13" s="127"/>
    </row>
    <row r="14" spans="1:14" x14ac:dyDescent="0.25">
      <c r="C14" s="134" t="s">
        <v>95</v>
      </c>
      <c r="D14" s="134"/>
      <c r="E14" s="127"/>
      <c r="F14" s="127"/>
      <c r="G14" s="134" t="s">
        <v>11</v>
      </c>
      <c r="H14" s="134"/>
      <c r="I14" s="127"/>
      <c r="J14" s="127"/>
      <c r="K14" s="127"/>
      <c r="L14" s="134" t="s">
        <v>12</v>
      </c>
      <c r="M14" s="134"/>
      <c r="N14" s="127"/>
    </row>
    <row r="16" spans="1:14" x14ac:dyDescent="0.25">
      <c r="C16" s="80" t="s">
        <v>13</v>
      </c>
      <c r="D16" s="80"/>
      <c r="E16" s="128" t="s">
        <v>14</v>
      </c>
      <c r="F16" s="80"/>
      <c r="G16" s="80" t="s">
        <v>13</v>
      </c>
      <c r="H16" s="80"/>
      <c r="I16" s="128" t="s">
        <v>14</v>
      </c>
      <c r="J16" s="80"/>
      <c r="K16" s="80"/>
      <c r="L16" s="80" t="s">
        <v>13</v>
      </c>
      <c r="M16" s="80"/>
      <c r="N16" s="128" t="s">
        <v>14</v>
      </c>
    </row>
    <row r="17" spans="1:14" x14ac:dyDescent="0.25">
      <c r="C17" s="80"/>
      <c r="D17" s="80"/>
      <c r="E17" s="137" t="s">
        <v>15</v>
      </c>
      <c r="F17" s="138"/>
      <c r="G17" s="80"/>
      <c r="H17" s="80"/>
      <c r="I17" s="137" t="s">
        <v>15</v>
      </c>
      <c r="J17" s="138"/>
      <c r="K17" s="138"/>
      <c r="L17" s="80"/>
      <c r="M17" s="80"/>
      <c r="N17" s="137" t="s">
        <v>15</v>
      </c>
    </row>
    <row r="18" spans="1:14" x14ac:dyDescent="0.25"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3" x14ac:dyDescent="0.35">
      <c r="A19" s="130" t="s">
        <v>5</v>
      </c>
      <c r="B19" s="139" t="s">
        <v>100</v>
      </c>
      <c r="C19" s="77"/>
      <c r="D19" s="77"/>
      <c r="E19" s="77"/>
      <c r="F19" s="77"/>
      <c r="G19" s="77"/>
      <c r="H19" s="77"/>
      <c r="I19" s="77"/>
      <c r="J19" s="77"/>
      <c r="K19" s="79"/>
      <c r="L19" s="77"/>
      <c r="M19" s="79"/>
      <c r="N19" s="77"/>
    </row>
    <row r="20" spans="1:14" ht="13" x14ac:dyDescent="0.35">
      <c r="B20" s="130" t="s">
        <v>117</v>
      </c>
      <c r="C20" s="83"/>
      <c r="D20" s="75"/>
      <c r="E20" s="83"/>
      <c r="F20" s="77"/>
      <c r="G20" s="62"/>
      <c r="H20" s="80"/>
      <c r="I20" s="62"/>
      <c r="J20" s="77"/>
      <c r="K20" s="75"/>
      <c r="L20" s="83"/>
      <c r="M20" s="75"/>
      <c r="N20" s="83"/>
    </row>
    <row r="21" spans="1:14" ht="13" x14ac:dyDescent="0.35">
      <c r="B21" s="130" t="s">
        <v>707</v>
      </c>
      <c r="C21" s="83"/>
      <c r="D21" s="75"/>
      <c r="E21" s="83"/>
      <c r="F21" s="77"/>
      <c r="G21" s="62"/>
      <c r="H21" s="80"/>
      <c r="I21" s="62"/>
      <c r="J21" s="77"/>
      <c r="K21" s="75"/>
      <c r="L21" s="83"/>
      <c r="M21" s="75"/>
      <c r="N21" s="83"/>
    </row>
    <row r="22" spans="1:14" ht="13" x14ac:dyDescent="0.35">
      <c r="B22" s="130" t="s">
        <v>708</v>
      </c>
      <c r="C22" s="83"/>
      <c r="D22" s="75"/>
      <c r="E22" s="83"/>
      <c r="F22" s="77"/>
      <c r="G22" s="62"/>
      <c r="H22" s="80"/>
      <c r="I22" s="62"/>
      <c r="J22" s="77"/>
      <c r="K22" s="75"/>
      <c r="L22" s="83"/>
      <c r="M22" s="75"/>
      <c r="N22" s="83"/>
    </row>
    <row r="23" spans="1:14" ht="13" x14ac:dyDescent="0.35">
      <c r="B23" s="130" t="s">
        <v>709</v>
      </c>
      <c r="C23" s="83"/>
      <c r="D23" s="75"/>
      <c r="E23" s="83"/>
      <c r="F23" s="77"/>
      <c r="G23" s="62"/>
      <c r="H23" s="80"/>
      <c r="I23" s="62"/>
      <c r="J23" s="77"/>
      <c r="K23" s="75"/>
      <c r="L23" s="83"/>
      <c r="M23" s="75"/>
      <c r="N23" s="83"/>
    </row>
    <row r="24" spans="1:14" ht="13" x14ac:dyDescent="0.35">
      <c r="B24" s="130" t="s">
        <v>710</v>
      </c>
      <c r="C24" s="83"/>
      <c r="D24" s="75"/>
      <c r="E24" s="83"/>
      <c r="F24" s="77"/>
      <c r="G24" s="62"/>
      <c r="H24" s="80"/>
      <c r="I24" s="62"/>
      <c r="J24" s="77"/>
      <c r="K24" s="75"/>
      <c r="L24" s="83"/>
      <c r="M24" s="75"/>
      <c r="N24" s="83"/>
    </row>
    <row r="25" spans="1:14" ht="13" x14ac:dyDescent="0.35">
      <c r="B25" s="130" t="s">
        <v>711</v>
      </c>
      <c r="C25" s="83"/>
      <c r="D25" s="75"/>
      <c r="E25" s="83"/>
      <c r="F25" s="77"/>
      <c r="G25" s="62"/>
      <c r="H25" s="80"/>
      <c r="I25" s="62"/>
      <c r="J25" s="77"/>
      <c r="K25" s="75"/>
      <c r="L25" s="83"/>
      <c r="M25" s="75"/>
      <c r="N25" s="83"/>
    </row>
    <row r="26" spans="1:14" ht="13" x14ac:dyDescent="0.35">
      <c r="B26" s="130" t="s">
        <v>712</v>
      </c>
      <c r="C26" s="83"/>
      <c r="D26" s="75"/>
      <c r="E26" s="83"/>
      <c r="F26" s="77"/>
      <c r="G26" s="62"/>
      <c r="H26" s="80"/>
      <c r="I26" s="62"/>
      <c r="J26" s="77"/>
      <c r="K26" s="75"/>
      <c r="L26" s="83"/>
      <c r="M26" s="75"/>
      <c r="N26" s="83"/>
    </row>
    <row r="27" spans="1:14" ht="13" x14ac:dyDescent="0.35">
      <c r="B27" s="130" t="s">
        <v>713</v>
      </c>
      <c r="C27" s="83"/>
      <c r="D27" s="75"/>
      <c r="E27" s="83"/>
      <c r="F27" s="77"/>
      <c r="G27" s="62"/>
      <c r="H27" s="80"/>
      <c r="I27" s="62"/>
      <c r="J27" s="77"/>
      <c r="K27" s="75"/>
      <c r="L27" s="83"/>
      <c r="M27" s="75"/>
      <c r="N27" s="83"/>
    </row>
    <row r="28" spans="1:14" ht="13" x14ac:dyDescent="0.35">
      <c r="B28" s="130" t="s">
        <v>714</v>
      </c>
      <c r="C28" s="83"/>
      <c r="D28" s="75"/>
      <c r="E28" s="83"/>
      <c r="F28" s="77"/>
      <c r="G28" s="62"/>
      <c r="H28" s="80"/>
      <c r="I28" s="62"/>
      <c r="J28" s="77"/>
      <c r="K28" s="75"/>
      <c r="L28" s="83"/>
      <c r="M28" s="75"/>
      <c r="N28" s="83"/>
    </row>
    <row r="29" spans="1:14" ht="13" x14ac:dyDescent="0.35">
      <c r="B29" s="130" t="s">
        <v>715</v>
      </c>
      <c r="C29" s="83"/>
      <c r="D29" s="75"/>
      <c r="E29" s="83"/>
      <c r="F29" s="77"/>
      <c r="G29" s="62"/>
      <c r="H29" s="80"/>
      <c r="I29" s="62"/>
      <c r="J29" s="77"/>
      <c r="K29" s="75"/>
      <c r="L29" s="83"/>
      <c r="M29" s="75"/>
      <c r="N29" s="83"/>
    </row>
    <row r="30" spans="1:14" ht="13" x14ac:dyDescent="0.35">
      <c r="B30" s="130" t="s">
        <v>716</v>
      </c>
      <c r="C30" s="83"/>
      <c r="D30" s="75"/>
      <c r="E30" s="83"/>
      <c r="F30" s="77"/>
      <c r="G30" s="62"/>
      <c r="H30" s="80"/>
      <c r="I30" s="62"/>
      <c r="J30" s="77"/>
      <c r="K30" s="75"/>
      <c r="L30" s="83"/>
      <c r="M30" s="75"/>
      <c r="N30" s="83"/>
    </row>
    <row r="31" spans="1:14" ht="13" x14ac:dyDescent="0.35">
      <c r="B31" s="130" t="s">
        <v>717</v>
      </c>
      <c r="C31" s="83"/>
      <c r="D31" s="75"/>
      <c r="E31" s="83"/>
      <c r="F31" s="77"/>
      <c r="G31" s="62"/>
      <c r="H31" s="80"/>
      <c r="I31" s="62"/>
      <c r="J31" s="77"/>
      <c r="K31" s="75"/>
      <c r="L31" s="83"/>
      <c r="M31" s="75"/>
      <c r="N31" s="83"/>
    </row>
    <row r="32" spans="1:14" ht="13" x14ac:dyDescent="0.35">
      <c r="B32" s="130" t="s">
        <v>718</v>
      </c>
      <c r="C32" s="83"/>
      <c r="D32" s="75"/>
      <c r="E32" s="83"/>
      <c r="F32" s="77"/>
      <c r="G32" s="62"/>
      <c r="H32" s="80"/>
      <c r="I32" s="62"/>
      <c r="J32" s="77"/>
      <c r="K32" s="75"/>
      <c r="L32" s="83"/>
      <c r="M32" s="75"/>
      <c r="N32" s="83"/>
    </row>
    <row r="33" spans="1:14" ht="13" x14ac:dyDescent="0.35">
      <c r="B33" s="130" t="s">
        <v>54</v>
      </c>
      <c r="C33" s="83"/>
      <c r="D33" s="75"/>
      <c r="E33" s="83"/>
      <c r="F33" s="77"/>
      <c r="G33" s="62"/>
      <c r="H33" s="80"/>
      <c r="I33" s="62"/>
      <c r="J33" s="77"/>
      <c r="K33" s="75"/>
      <c r="L33" s="83"/>
      <c r="M33" s="75"/>
      <c r="N33" s="83"/>
    </row>
    <row r="34" spans="1:14" ht="13" x14ac:dyDescent="0.35">
      <c r="C34" s="77"/>
      <c r="D34" s="77"/>
      <c r="E34" s="77"/>
      <c r="F34" s="77"/>
      <c r="G34" s="77"/>
      <c r="H34" s="77"/>
      <c r="I34" s="77"/>
      <c r="J34" s="77"/>
      <c r="K34" s="79"/>
      <c r="L34" s="79"/>
      <c r="M34" s="79"/>
      <c r="N34" s="79"/>
    </row>
    <row r="35" spans="1:14" ht="13" x14ac:dyDescent="0.35">
      <c r="B35" s="130" t="s">
        <v>750</v>
      </c>
      <c r="C35" s="146">
        <f>SUM(C20:C33)</f>
        <v>0</v>
      </c>
      <c r="D35" s="75"/>
      <c r="E35" s="146">
        <f>SUM(E20:E33)</f>
        <v>0</v>
      </c>
      <c r="F35" s="75"/>
      <c r="G35" s="146">
        <f>SUM(G20:G33)</f>
        <v>0</v>
      </c>
      <c r="H35" s="75"/>
      <c r="I35" s="146">
        <f>SUM(I20:I33)</f>
        <v>0</v>
      </c>
      <c r="J35" s="75"/>
      <c r="K35" s="75"/>
      <c r="L35" s="146">
        <f>SUM(L20:L33)</f>
        <v>0</v>
      </c>
      <c r="M35" s="75"/>
      <c r="N35" s="146">
        <f>SUM(N20:N33)</f>
        <v>0</v>
      </c>
    </row>
    <row r="36" spans="1:14" ht="13" x14ac:dyDescent="0.35">
      <c r="B36" s="136"/>
      <c r="C36" s="79"/>
      <c r="D36" s="75"/>
      <c r="E36" s="79"/>
      <c r="F36" s="75"/>
      <c r="G36" s="79"/>
      <c r="H36" s="75"/>
      <c r="I36" s="79"/>
      <c r="J36" s="75"/>
      <c r="K36" s="75"/>
      <c r="L36" s="79"/>
      <c r="M36" s="75"/>
      <c r="N36" s="79"/>
    </row>
    <row r="37" spans="1:14" x14ac:dyDescent="0.25">
      <c r="A37" s="130" t="s">
        <v>45</v>
      </c>
      <c r="B37" s="139" t="s">
        <v>119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3" x14ac:dyDescent="0.35">
      <c r="B38" s="130" t="s">
        <v>117</v>
      </c>
      <c r="C38" s="62"/>
      <c r="D38" s="77"/>
      <c r="E38" s="62"/>
      <c r="F38" s="77"/>
      <c r="G38" s="62"/>
      <c r="H38" s="77"/>
      <c r="I38" s="62"/>
      <c r="J38" s="77"/>
      <c r="K38" s="79"/>
      <c r="L38" s="62"/>
      <c r="M38" s="77"/>
      <c r="N38" s="62"/>
    </row>
    <row r="39" spans="1:14" ht="13" x14ac:dyDescent="0.35">
      <c r="B39" s="130" t="s">
        <v>707</v>
      </c>
      <c r="C39" s="62"/>
      <c r="D39" s="77"/>
      <c r="E39" s="62"/>
      <c r="F39" s="77"/>
      <c r="G39" s="62"/>
      <c r="H39" s="77"/>
      <c r="I39" s="62"/>
      <c r="J39" s="77"/>
      <c r="K39" s="79"/>
      <c r="L39" s="62"/>
      <c r="M39" s="77"/>
      <c r="N39" s="62"/>
    </row>
    <row r="40" spans="1:14" ht="13" x14ac:dyDescent="0.35">
      <c r="B40" s="130" t="s">
        <v>708</v>
      </c>
      <c r="C40" s="62"/>
      <c r="D40" s="77"/>
      <c r="E40" s="62"/>
      <c r="F40" s="77"/>
      <c r="G40" s="62"/>
      <c r="H40" s="77"/>
      <c r="I40" s="62"/>
      <c r="J40" s="77"/>
      <c r="K40" s="79"/>
      <c r="L40" s="62"/>
      <c r="M40" s="77"/>
      <c r="N40" s="62"/>
    </row>
    <row r="41" spans="1:14" ht="13" x14ac:dyDescent="0.35">
      <c r="B41" s="141" t="s">
        <v>709</v>
      </c>
      <c r="C41" s="62"/>
      <c r="D41" s="79"/>
      <c r="E41" s="62"/>
      <c r="F41" s="77"/>
      <c r="G41" s="62"/>
      <c r="H41" s="77"/>
      <c r="I41" s="62"/>
      <c r="J41" s="77"/>
      <c r="K41" s="79"/>
      <c r="L41" s="62"/>
      <c r="M41" s="79"/>
      <c r="N41" s="62"/>
    </row>
    <row r="42" spans="1:14" ht="13" x14ac:dyDescent="0.35">
      <c r="B42" s="130" t="s">
        <v>710</v>
      </c>
      <c r="C42" s="62"/>
      <c r="D42" s="79"/>
      <c r="E42" s="62"/>
      <c r="F42" s="77"/>
      <c r="G42" s="62"/>
      <c r="H42" s="77"/>
      <c r="I42" s="62"/>
      <c r="J42" s="77"/>
      <c r="K42" s="79"/>
      <c r="L42" s="62"/>
      <c r="M42" s="79"/>
      <c r="N42" s="62"/>
    </row>
    <row r="43" spans="1:14" ht="13" x14ac:dyDescent="0.35">
      <c r="B43" s="130" t="s">
        <v>711</v>
      </c>
      <c r="C43" s="62"/>
      <c r="D43" s="79"/>
      <c r="E43" s="62"/>
      <c r="F43" s="77"/>
      <c r="G43" s="62"/>
      <c r="H43" s="77"/>
      <c r="I43" s="62"/>
      <c r="J43" s="77"/>
      <c r="K43" s="79"/>
      <c r="L43" s="62"/>
      <c r="M43" s="79"/>
      <c r="N43" s="62"/>
    </row>
    <row r="44" spans="1:14" ht="13" x14ac:dyDescent="0.35">
      <c r="B44" s="130" t="s">
        <v>712</v>
      </c>
      <c r="C44" s="62"/>
      <c r="D44" s="79"/>
      <c r="E44" s="62"/>
      <c r="F44" s="77"/>
      <c r="G44" s="62"/>
      <c r="H44" s="77"/>
      <c r="I44" s="62"/>
      <c r="J44" s="77"/>
      <c r="K44" s="79"/>
      <c r="L44" s="62"/>
      <c r="M44" s="79"/>
      <c r="N44" s="62"/>
    </row>
    <row r="45" spans="1:14" ht="13" x14ac:dyDescent="0.35">
      <c r="B45" s="130" t="s">
        <v>713</v>
      </c>
      <c r="C45" s="62"/>
      <c r="D45" s="79"/>
      <c r="E45" s="62"/>
      <c r="F45" s="77"/>
      <c r="G45" s="62"/>
      <c r="H45" s="77"/>
      <c r="I45" s="62"/>
      <c r="J45" s="77"/>
      <c r="K45" s="79"/>
      <c r="L45" s="62"/>
      <c r="M45" s="79"/>
      <c r="N45" s="62"/>
    </row>
    <row r="46" spans="1:14" ht="13" x14ac:dyDescent="0.35">
      <c r="B46" s="130" t="s">
        <v>714</v>
      </c>
      <c r="C46" s="62"/>
      <c r="D46" s="77"/>
      <c r="E46" s="62"/>
      <c r="F46" s="77"/>
      <c r="G46" s="62"/>
      <c r="H46" s="77"/>
      <c r="I46" s="62"/>
      <c r="J46" s="77"/>
      <c r="K46" s="79"/>
      <c r="L46" s="62"/>
      <c r="M46" s="77"/>
      <c r="N46" s="62"/>
    </row>
    <row r="47" spans="1:14" ht="13" x14ac:dyDescent="0.35">
      <c r="B47" s="130" t="s">
        <v>715</v>
      </c>
      <c r="C47" s="62"/>
      <c r="D47" s="77"/>
      <c r="E47" s="62"/>
      <c r="F47" s="77"/>
      <c r="G47" s="62"/>
      <c r="H47" s="77"/>
      <c r="I47" s="62"/>
      <c r="J47" s="77"/>
      <c r="K47" s="79"/>
      <c r="L47" s="62"/>
      <c r="M47" s="77"/>
      <c r="N47" s="62"/>
    </row>
    <row r="48" spans="1:14" ht="13" x14ac:dyDescent="0.35">
      <c r="B48" s="130" t="s">
        <v>716</v>
      </c>
      <c r="C48" s="62"/>
      <c r="D48" s="77"/>
      <c r="E48" s="62"/>
      <c r="F48" s="77"/>
      <c r="G48" s="62"/>
      <c r="H48" s="77"/>
      <c r="I48" s="62"/>
      <c r="J48" s="77"/>
      <c r="K48" s="79"/>
      <c r="L48" s="62"/>
      <c r="M48" s="77"/>
      <c r="N48" s="62"/>
    </row>
    <row r="49" spans="2:21" ht="13" x14ac:dyDescent="0.35">
      <c r="B49" s="130" t="s">
        <v>717</v>
      </c>
      <c r="C49" s="62"/>
      <c r="D49" s="77"/>
      <c r="E49" s="62"/>
      <c r="F49" s="77"/>
      <c r="G49" s="62"/>
      <c r="H49" s="77"/>
      <c r="I49" s="62"/>
      <c r="J49" s="77"/>
      <c r="K49" s="79"/>
      <c r="L49" s="62"/>
      <c r="M49" s="77"/>
      <c r="N49" s="62"/>
    </row>
    <row r="50" spans="2:21" ht="13" x14ac:dyDescent="0.35">
      <c r="B50" s="130" t="s">
        <v>718</v>
      </c>
      <c r="C50" s="62"/>
      <c r="D50" s="77"/>
      <c r="E50" s="62"/>
      <c r="F50" s="77"/>
      <c r="G50" s="62"/>
      <c r="H50" s="77"/>
      <c r="I50" s="62"/>
      <c r="J50" s="77"/>
      <c r="K50" s="79"/>
      <c r="L50" s="62"/>
      <c r="M50" s="77"/>
      <c r="N50" s="62"/>
    </row>
    <row r="51" spans="2:21" ht="13" x14ac:dyDescent="0.35">
      <c r="B51" s="130" t="s">
        <v>54</v>
      </c>
      <c r="C51" s="62"/>
      <c r="D51" s="77"/>
      <c r="E51" s="62"/>
      <c r="F51" s="77"/>
      <c r="G51" s="62"/>
      <c r="H51" s="77"/>
      <c r="I51" s="62"/>
      <c r="J51" s="77"/>
      <c r="K51" s="75"/>
      <c r="L51" s="62"/>
      <c r="M51" s="77"/>
      <c r="N51" s="62"/>
    </row>
    <row r="52" spans="2:21" ht="13" x14ac:dyDescent="0.35">
      <c r="C52" s="77"/>
      <c r="D52" s="77"/>
      <c r="E52" s="77"/>
      <c r="F52" s="77"/>
      <c r="G52" s="77"/>
      <c r="H52" s="77"/>
      <c r="I52" s="77"/>
      <c r="J52" s="77"/>
      <c r="K52" s="79"/>
      <c r="L52" s="77"/>
      <c r="M52" s="79"/>
      <c r="N52" s="77"/>
    </row>
    <row r="53" spans="2:21" ht="13" x14ac:dyDescent="0.35">
      <c r="B53" s="130" t="s">
        <v>750</v>
      </c>
      <c r="C53" s="146">
        <f>SUM(C38:C51)</f>
        <v>0</v>
      </c>
      <c r="D53" s="75"/>
      <c r="E53" s="146">
        <f>SUM(E38:E51)</f>
        <v>0</v>
      </c>
      <c r="F53" s="75"/>
      <c r="G53" s="146">
        <f>SUM(G38:G51)</f>
        <v>0</v>
      </c>
      <c r="H53" s="75"/>
      <c r="I53" s="146">
        <f>SUM(I38:I51)</f>
        <v>0</v>
      </c>
      <c r="J53" s="75"/>
      <c r="K53" s="75"/>
      <c r="L53" s="146">
        <f>SUM(L38:L51)</f>
        <v>0</v>
      </c>
      <c r="M53" s="75"/>
      <c r="N53" s="145">
        <f>SUM(N38:N51)</f>
        <v>0</v>
      </c>
    </row>
    <row r="54" spans="2:21" ht="13" x14ac:dyDescent="0.3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2:21" ht="13" x14ac:dyDescent="0.35">
      <c r="B55" s="139"/>
      <c r="C55" s="77"/>
      <c r="D55" s="77"/>
      <c r="E55" s="77"/>
      <c r="F55" s="77"/>
      <c r="G55" s="77"/>
      <c r="H55" s="77"/>
      <c r="I55" s="77"/>
      <c r="J55" s="77"/>
      <c r="K55" s="79"/>
      <c r="L55" s="77"/>
      <c r="M55" s="79"/>
      <c r="N55" s="77"/>
    </row>
    <row r="56" spans="2:21" ht="13" x14ac:dyDescent="0.35">
      <c r="B56" s="136" t="s">
        <v>27</v>
      </c>
      <c r="C56" s="124">
        <f>C53+C35</f>
        <v>0</v>
      </c>
      <c r="D56" s="143"/>
      <c r="E56" s="124">
        <f>E53+E35</f>
        <v>0</v>
      </c>
      <c r="F56" s="143"/>
      <c r="G56" s="124">
        <f>G53+G35</f>
        <v>0</v>
      </c>
      <c r="H56" s="143"/>
      <c r="I56" s="124">
        <f>I53+I35</f>
        <v>0</v>
      </c>
      <c r="J56" s="143"/>
      <c r="K56" s="143"/>
      <c r="L56" s="124">
        <f>L53+L35</f>
        <v>0</v>
      </c>
      <c r="M56" s="143"/>
      <c r="N56" s="124">
        <f>N53+N35</f>
        <v>0</v>
      </c>
    </row>
    <row r="57" spans="2:21" x14ac:dyDescent="0.25">
      <c r="R57" s="130" t="s">
        <v>26</v>
      </c>
      <c r="S57" s="130" t="s">
        <v>26</v>
      </c>
      <c r="T57" s="130" t="s">
        <v>26</v>
      </c>
      <c r="U57" s="130" t="s">
        <v>26</v>
      </c>
    </row>
    <row r="58" spans="2:21" x14ac:dyDescent="0.25">
      <c r="R58" s="130" t="s">
        <v>26</v>
      </c>
      <c r="S58" s="130" t="s">
        <v>26</v>
      </c>
      <c r="T58" s="130" t="s">
        <v>26</v>
      </c>
      <c r="U58" s="130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bers/decimal only)" sqref="C20:N33">
      <formula1>0</formula1>
      <formula2>9.99999999999999E+26</formula2>
    </dataValidation>
  </dataValidations>
  <printOptions horizontalCentered="1" gridLinesSet="0"/>
  <pageMargins left="0" right="0" top="0.41" bottom="0.36" header="0.17" footer="0.2800000000000000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2:Q68"/>
  <sheetViews>
    <sheetView showGridLines="0" topLeftCell="A7" workbookViewId="0">
      <selection activeCell="G27" sqref="G27"/>
    </sheetView>
  </sheetViews>
  <sheetFormatPr defaultColWidth="9.09765625" defaultRowHeight="10.5" x14ac:dyDescent="0.25"/>
  <cols>
    <col min="1" max="1" width="2.69921875" style="110" customWidth="1"/>
    <col min="2" max="2" width="19.3984375" style="110" customWidth="1"/>
    <col min="3" max="3" width="5.69921875" style="110" customWidth="1"/>
    <col min="4" max="4" width="1.69921875" style="110" customWidth="1"/>
    <col min="5" max="5" width="15.3984375" style="110" customWidth="1"/>
    <col min="6" max="6" width="1.69921875" style="110" customWidth="1"/>
    <col min="7" max="7" width="5.69921875" style="110" customWidth="1"/>
    <col min="8" max="8" width="1.69921875" style="110" customWidth="1"/>
    <col min="9" max="9" width="11.3984375" style="110" customWidth="1"/>
    <col min="10" max="10" width="1.69921875" style="110" customWidth="1"/>
    <col min="11" max="11" width="5.69921875" style="110" customWidth="1"/>
    <col min="12" max="12" width="1.69921875" style="110" customWidth="1"/>
    <col min="13" max="13" width="9.69921875" style="110" customWidth="1"/>
    <col min="14" max="14" width="1.69921875" style="110" customWidth="1"/>
    <col min="15" max="15" width="5.69921875" style="110" customWidth="1"/>
    <col min="16" max="16" width="1.69921875" style="110" customWidth="1"/>
    <col min="17" max="17" width="9.69921875" style="110" customWidth="1"/>
    <col min="18" max="16384" width="9.09765625" style="110"/>
  </cols>
  <sheetData>
    <row r="2" spans="1:17" x14ac:dyDescent="0.25">
      <c r="A2" s="106"/>
      <c r="B2" s="107"/>
      <c r="C2" s="107"/>
      <c r="D2" s="107"/>
      <c r="E2" s="107"/>
      <c r="F2" s="107"/>
      <c r="G2" s="107"/>
      <c r="H2" s="107"/>
      <c r="I2" s="109"/>
      <c r="J2" s="109"/>
      <c r="K2" s="107"/>
      <c r="L2" s="107"/>
      <c r="M2" s="107"/>
      <c r="N2" s="107"/>
      <c r="O2" s="107"/>
      <c r="P2" s="107"/>
      <c r="Q2" s="106" t="s">
        <v>70</v>
      </c>
    </row>
    <row r="3" spans="1:17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x14ac:dyDescent="0.25">
      <c r="A4" s="14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x14ac:dyDescent="0.25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x14ac:dyDescent="0.25">
      <c r="A6" s="147" t="s">
        <v>112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x14ac:dyDescent="0.25">
      <c r="A7" s="111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x14ac:dyDescent="0.25">
      <c r="A8" s="147" t="s">
        <v>53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12" spans="1:17" x14ac:dyDescent="0.25">
      <c r="C12" s="118" t="s">
        <v>4</v>
      </c>
      <c r="D12" s="118"/>
      <c r="E12" s="107"/>
      <c r="F12" s="118" t="s">
        <v>111</v>
      </c>
      <c r="G12" s="118"/>
      <c r="H12" s="118"/>
      <c r="I12" s="107"/>
      <c r="J12" s="107"/>
      <c r="K12" s="118" t="s">
        <v>110</v>
      </c>
      <c r="L12" s="118"/>
      <c r="M12" s="107"/>
      <c r="N12" s="107"/>
      <c r="O12" s="118" t="s">
        <v>103</v>
      </c>
      <c r="P12" s="118"/>
      <c r="Q12" s="107"/>
    </row>
    <row r="13" spans="1:17" x14ac:dyDescent="0.25">
      <c r="A13" s="119" t="s">
        <v>5</v>
      </c>
      <c r="B13" s="114" t="s">
        <v>46</v>
      </c>
      <c r="C13" s="118" t="s">
        <v>9</v>
      </c>
      <c r="D13" s="118"/>
      <c r="E13" s="107"/>
      <c r="F13" s="118" t="s">
        <v>8</v>
      </c>
      <c r="G13" s="118"/>
      <c r="H13" s="118"/>
      <c r="I13" s="107"/>
      <c r="J13" s="107"/>
      <c r="K13" s="118" t="s">
        <v>8</v>
      </c>
      <c r="L13" s="118"/>
      <c r="M13" s="107"/>
      <c r="N13" s="107"/>
      <c r="O13" s="118" t="s">
        <v>9</v>
      </c>
      <c r="P13" s="118"/>
      <c r="Q13" s="107"/>
    </row>
    <row r="14" spans="1:17" x14ac:dyDescent="0.25">
      <c r="C14" s="118" t="s">
        <v>95</v>
      </c>
      <c r="D14" s="118"/>
      <c r="E14" s="107"/>
      <c r="F14" s="118" t="s">
        <v>11</v>
      </c>
      <c r="G14" s="118"/>
      <c r="H14" s="118"/>
      <c r="I14" s="107"/>
      <c r="J14" s="107"/>
      <c r="K14" s="118" t="s">
        <v>11</v>
      </c>
      <c r="L14" s="118"/>
      <c r="M14" s="107"/>
      <c r="N14" s="107"/>
      <c r="O14" s="118" t="s">
        <v>12</v>
      </c>
      <c r="P14" s="118"/>
      <c r="Q14" s="107"/>
    </row>
    <row r="16" spans="1:17" x14ac:dyDescent="0.25">
      <c r="C16" s="107" t="s">
        <v>13</v>
      </c>
      <c r="D16" s="107"/>
      <c r="E16" s="107" t="s">
        <v>14</v>
      </c>
      <c r="F16" s="107" t="s">
        <v>13</v>
      </c>
      <c r="G16" s="107"/>
      <c r="H16" s="107"/>
      <c r="I16" s="107" t="s">
        <v>14</v>
      </c>
      <c r="J16" s="107"/>
      <c r="K16" s="107" t="s">
        <v>13</v>
      </c>
      <c r="L16" s="107"/>
      <c r="M16" s="107" t="s">
        <v>14</v>
      </c>
      <c r="N16" s="107"/>
      <c r="O16" s="107" t="s">
        <v>13</v>
      </c>
      <c r="P16" s="107"/>
      <c r="Q16" s="107" t="s">
        <v>14</v>
      </c>
    </row>
    <row r="17" spans="1:17" x14ac:dyDescent="0.25">
      <c r="C17" s="107"/>
      <c r="D17" s="107"/>
      <c r="E17" s="148" t="s">
        <v>15</v>
      </c>
      <c r="I17" s="148" t="s">
        <v>15</v>
      </c>
      <c r="J17" s="148"/>
      <c r="M17" s="148" t="s">
        <v>15</v>
      </c>
      <c r="N17" s="148"/>
      <c r="Q17" s="148" t="s">
        <v>15</v>
      </c>
    </row>
    <row r="19" spans="1:17" x14ac:dyDescent="0.25">
      <c r="A19" s="110">
        <v>1</v>
      </c>
      <c r="B19" s="122" t="s">
        <v>132</v>
      </c>
    </row>
    <row r="20" spans="1:17" x14ac:dyDescent="0.25">
      <c r="B20" s="122" t="s">
        <v>104</v>
      </c>
      <c r="C20" s="81"/>
      <c r="E20" s="81"/>
      <c r="G20" s="81"/>
      <c r="I20" s="81"/>
      <c r="J20" s="113"/>
      <c r="K20" s="81"/>
      <c r="M20" s="81"/>
      <c r="N20" s="113"/>
      <c r="O20" s="81"/>
      <c r="Q20" s="81"/>
    </row>
    <row r="21" spans="1:17" ht="13" x14ac:dyDescent="0.35">
      <c r="C21" s="73"/>
      <c r="D21" s="74"/>
      <c r="E21" s="73"/>
      <c r="F21" s="74"/>
      <c r="G21" s="73"/>
      <c r="H21" s="74"/>
      <c r="I21" s="73"/>
      <c r="J21" s="74"/>
      <c r="K21" s="73"/>
      <c r="L21" s="74"/>
      <c r="M21" s="73"/>
      <c r="N21" s="74"/>
      <c r="O21" s="73"/>
      <c r="P21" s="74"/>
      <c r="Q21" s="73"/>
    </row>
    <row r="22" spans="1:17" ht="13" x14ac:dyDescent="0.35"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  <c r="O22" s="73"/>
      <c r="P22" s="74"/>
      <c r="Q22" s="73"/>
    </row>
    <row r="23" spans="1:17" x14ac:dyDescent="0.25">
      <c r="A23" s="110">
        <v>2</v>
      </c>
      <c r="B23" s="122" t="s">
        <v>47</v>
      </c>
      <c r="C23" s="108"/>
      <c r="E23" s="108"/>
      <c r="G23" s="108"/>
      <c r="I23" s="108"/>
      <c r="K23" s="108"/>
      <c r="M23" s="108"/>
      <c r="O23" s="108"/>
      <c r="Q23" s="108"/>
    </row>
    <row r="24" spans="1:17" x14ac:dyDescent="0.25">
      <c r="B24" s="122" t="s">
        <v>48</v>
      </c>
      <c r="C24" s="81"/>
      <c r="E24" s="81"/>
      <c r="G24" s="81"/>
      <c r="I24" s="81"/>
      <c r="J24" s="113"/>
      <c r="K24" s="81"/>
      <c r="M24" s="81"/>
      <c r="N24" s="113"/>
      <c r="O24" s="81"/>
      <c r="Q24" s="81"/>
    </row>
    <row r="25" spans="1:17" x14ac:dyDescent="0.25">
      <c r="C25" s="108"/>
      <c r="E25" s="108"/>
      <c r="G25" s="108"/>
      <c r="I25" s="108"/>
      <c r="K25" s="108"/>
      <c r="M25" s="108"/>
      <c r="O25" s="108"/>
      <c r="Q25" s="108"/>
    </row>
    <row r="26" spans="1:17" x14ac:dyDescent="0.25">
      <c r="A26" s="110">
        <v>3</v>
      </c>
      <c r="B26" s="122" t="s">
        <v>49</v>
      </c>
      <c r="C26" s="108"/>
      <c r="E26" s="108"/>
      <c r="G26" s="108"/>
      <c r="I26" s="108"/>
      <c r="K26" s="108"/>
      <c r="M26" s="108"/>
      <c r="O26" s="108"/>
      <c r="Q26" s="108"/>
    </row>
    <row r="27" spans="1:17" x14ac:dyDescent="0.25">
      <c r="B27" s="122" t="s">
        <v>50</v>
      </c>
      <c r="C27" s="81"/>
      <c r="E27" s="81"/>
      <c r="G27" s="81"/>
      <c r="I27" s="81"/>
      <c r="J27" s="113"/>
      <c r="K27" s="81"/>
      <c r="M27" s="81"/>
      <c r="N27" s="113"/>
      <c r="O27" s="81"/>
      <c r="Q27" s="81"/>
    </row>
    <row r="28" spans="1:17" s="74" customFormat="1" ht="13" x14ac:dyDescent="0.35">
      <c r="A28" s="110"/>
      <c r="B28" s="110"/>
      <c r="C28" s="108"/>
      <c r="D28" s="110"/>
      <c r="E28" s="108"/>
      <c r="F28" s="110"/>
      <c r="G28" s="108"/>
      <c r="H28" s="110"/>
      <c r="I28" s="108"/>
      <c r="J28" s="110"/>
      <c r="K28" s="108"/>
      <c r="L28" s="110"/>
      <c r="M28" s="108"/>
      <c r="N28" s="110"/>
      <c r="O28" s="108"/>
      <c r="P28" s="110"/>
      <c r="Q28" s="108"/>
    </row>
    <row r="29" spans="1:17" ht="15" customHeight="1" x14ac:dyDescent="0.25">
      <c r="A29" s="110">
        <v>4</v>
      </c>
      <c r="B29" s="110" t="s">
        <v>51</v>
      </c>
      <c r="C29" s="81"/>
      <c r="E29" s="81"/>
      <c r="G29" s="81"/>
      <c r="I29" s="81"/>
      <c r="J29" s="113"/>
      <c r="K29" s="81"/>
      <c r="M29" s="81"/>
      <c r="N29" s="113"/>
      <c r="O29" s="81"/>
      <c r="Q29" s="81"/>
    </row>
    <row r="30" spans="1:17" s="74" customFormat="1" ht="13" x14ac:dyDescent="0.3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s="74" customFormat="1" ht="13" x14ac:dyDescent="0.35">
      <c r="A31" s="110"/>
      <c r="B31" s="130" t="s">
        <v>96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s="74" customFormat="1" ht="13" x14ac:dyDescent="0.35">
      <c r="A32" s="110"/>
      <c r="B32" s="13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s="74" customFormat="1" ht="13" x14ac:dyDescent="0.35">
      <c r="A33" s="110"/>
      <c r="B33" s="130" t="s">
        <v>97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 s="74" customFormat="1" ht="13" x14ac:dyDescent="0.35">
      <c r="A34" s="110"/>
      <c r="B34" s="139" t="s">
        <v>98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s="74" customFormat="1" ht="13" x14ac:dyDescent="0.35">
      <c r="A35" s="110"/>
      <c r="B35" s="139" t="s">
        <v>99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5"/>
      <c r="P35" s="115"/>
      <c r="Q35" s="115"/>
    </row>
    <row r="36" spans="1:17" s="74" customFormat="1" ht="13" x14ac:dyDescent="0.35">
      <c r="A36" s="110"/>
      <c r="B36" s="13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s="74" customFormat="1" ht="13" x14ac:dyDescent="0.35">
      <c r="A37" s="110"/>
      <c r="B37" s="13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9" spans="1:17" x14ac:dyDescent="0.25">
      <c r="B39" s="110" t="s">
        <v>27</v>
      </c>
      <c r="C39" s="149">
        <f>SUM(C20:C29)</f>
        <v>0</v>
      </c>
      <c r="D39" s="119"/>
      <c r="E39" s="149">
        <f>SUM(E20:E29)</f>
        <v>0</v>
      </c>
      <c r="F39" s="119"/>
      <c r="G39" s="150">
        <f>SUM(G20:G29)</f>
        <v>0</v>
      </c>
      <c r="H39" s="119"/>
      <c r="I39" s="150">
        <f>SUM(I20:I29)</f>
        <v>0</v>
      </c>
      <c r="J39" s="151"/>
      <c r="K39" s="150">
        <f>SUM(K20:K29)</f>
        <v>0</v>
      </c>
      <c r="L39" s="119"/>
      <c r="M39" s="150">
        <f>SUM(M20:M29)</f>
        <v>0</v>
      </c>
      <c r="N39" s="151"/>
      <c r="O39" s="150">
        <f>SUM(O20:O29)</f>
        <v>0</v>
      </c>
      <c r="P39" s="119"/>
      <c r="Q39" s="150">
        <f>SUM(Q20:Q29)</f>
        <v>0</v>
      </c>
    </row>
    <row r="41" spans="1:17" s="74" customFormat="1" ht="13" x14ac:dyDescent="0.35">
      <c r="A41" s="110"/>
      <c r="B41" s="110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2" spans="1:17" s="153" customFormat="1" ht="13" x14ac:dyDescent="0.35">
      <c r="A42" s="119" t="s">
        <v>45</v>
      </c>
      <c r="B42" s="106" t="s">
        <v>52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52"/>
      <c r="N42" s="152"/>
      <c r="O42" s="152"/>
      <c r="P42" s="152"/>
      <c r="Q42" s="152"/>
    </row>
    <row r="44" spans="1:17" s="74" customFormat="1" ht="13" x14ac:dyDescent="0.3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x14ac:dyDescent="0.25">
      <c r="A45" s="110" t="s">
        <v>16</v>
      </c>
      <c r="B45" s="110" t="s">
        <v>100</v>
      </c>
      <c r="C45" s="82"/>
    </row>
    <row r="46" spans="1:17" s="74" customFormat="1" ht="13" x14ac:dyDescent="0.3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13.15" customHeight="1" x14ac:dyDescent="0.25">
      <c r="A47" s="110" t="s">
        <v>18</v>
      </c>
      <c r="B47" s="110" t="s">
        <v>101</v>
      </c>
      <c r="C47" s="81"/>
    </row>
    <row r="48" spans="1:17" ht="13.15" customHeight="1" x14ac:dyDescent="0.25">
      <c r="C48" s="113"/>
    </row>
    <row r="49" spans="1:17" s="74" customFormat="1" ht="13" x14ac:dyDescent="0.3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1:17" x14ac:dyDescent="0.25">
      <c r="A50" s="119" t="s">
        <v>74</v>
      </c>
      <c r="B50" s="106" t="s">
        <v>788</v>
      </c>
      <c r="C50" s="106"/>
      <c r="D50" s="106"/>
      <c r="E50" s="106"/>
      <c r="F50" s="106"/>
      <c r="G50" s="106"/>
      <c r="H50" s="106"/>
      <c r="I50" s="106"/>
      <c r="J50" s="106"/>
      <c r="K50" s="106"/>
    </row>
    <row r="53" spans="1:17" s="153" customFormat="1" ht="13" x14ac:dyDescent="0.35">
      <c r="A53" s="110" t="s">
        <v>16</v>
      </c>
      <c r="B53" s="110" t="s">
        <v>100</v>
      </c>
      <c r="C53" s="67"/>
      <c r="D53" s="110"/>
      <c r="E53" s="110" t="s">
        <v>75</v>
      </c>
      <c r="F53" s="110"/>
      <c r="G53" s="110"/>
      <c r="H53" s="110"/>
      <c r="I53" s="67"/>
      <c r="J53" s="110"/>
      <c r="K53" s="110" t="s">
        <v>76</v>
      </c>
      <c r="L53" s="110"/>
      <c r="M53" s="110"/>
      <c r="N53" s="110"/>
      <c r="O53" s="110"/>
      <c r="P53" s="110"/>
      <c r="Q53" s="110"/>
    </row>
    <row r="55" spans="1:17" x14ac:dyDescent="0.25">
      <c r="A55" s="110" t="s">
        <v>18</v>
      </c>
      <c r="B55" s="110" t="s">
        <v>101</v>
      </c>
      <c r="C55" s="67"/>
      <c r="E55" s="110" t="s">
        <v>75</v>
      </c>
      <c r="I55" s="67"/>
      <c r="K55" s="110" t="s">
        <v>77</v>
      </c>
    </row>
    <row r="58" spans="1:17" x14ac:dyDescent="0.25">
      <c r="A58" s="119" t="s">
        <v>78</v>
      </c>
      <c r="B58" s="106" t="s">
        <v>114</v>
      </c>
      <c r="C58" s="106"/>
      <c r="D58" s="106"/>
      <c r="E58" s="106"/>
    </row>
    <row r="59" spans="1:17" x14ac:dyDescent="0.25">
      <c r="A59" s="119"/>
      <c r="B59" s="106"/>
      <c r="C59" s="106"/>
      <c r="D59" s="106"/>
      <c r="E59" s="106"/>
    </row>
    <row r="60" spans="1:17" ht="14.25" customHeight="1" x14ac:dyDescent="0.25"/>
    <row r="61" spans="1:17" ht="12.75" customHeight="1" x14ac:dyDescent="0.25">
      <c r="I61" s="110" t="s">
        <v>120</v>
      </c>
      <c r="M61" s="113"/>
      <c r="N61" s="113"/>
      <c r="O61" s="113"/>
    </row>
    <row r="62" spans="1:17" ht="14.25" customHeight="1" x14ac:dyDescent="0.25">
      <c r="B62" s="110" t="s">
        <v>79</v>
      </c>
      <c r="C62" s="113"/>
      <c r="E62" s="113"/>
      <c r="I62" s="210"/>
      <c r="J62" s="210"/>
      <c r="K62" s="210"/>
      <c r="M62" s="113"/>
      <c r="N62" s="113"/>
      <c r="O62" s="113"/>
    </row>
    <row r="63" spans="1:17" ht="12.75" customHeight="1" x14ac:dyDescent="0.25">
      <c r="C63" s="113"/>
      <c r="M63" s="113"/>
      <c r="N63" s="113"/>
      <c r="O63" s="113"/>
    </row>
    <row r="64" spans="1:17" ht="13.5" customHeight="1" x14ac:dyDescent="0.25">
      <c r="B64" s="110" t="s">
        <v>115</v>
      </c>
      <c r="C64" s="113"/>
      <c r="E64" s="113"/>
      <c r="I64" s="210"/>
      <c r="J64" s="210"/>
      <c r="K64" s="210"/>
      <c r="M64" s="113"/>
      <c r="N64" s="113"/>
      <c r="O64" s="113"/>
    </row>
    <row r="65" spans="2:15" x14ac:dyDescent="0.25">
      <c r="M65" s="113"/>
      <c r="N65" s="113"/>
      <c r="O65" s="113"/>
    </row>
    <row r="66" spans="2:15" x14ac:dyDescent="0.25">
      <c r="B66" s="110" t="s">
        <v>80</v>
      </c>
      <c r="C66" s="113"/>
      <c r="E66" s="113"/>
      <c r="I66" s="210"/>
      <c r="J66" s="210"/>
      <c r="K66" s="210"/>
      <c r="M66" s="113"/>
      <c r="N66" s="113"/>
      <c r="O66" s="113"/>
    </row>
    <row r="67" spans="2:15" x14ac:dyDescent="0.25">
      <c r="M67" s="113"/>
      <c r="N67" s="113"/>
      <c r="O67" s="113"/>
    </row>
    <row r="68" spans="2:15" x14ac:dyDescent="0.25">
      <c r="M68" s="113"/>
      <c r="N68" s="113"/>
      <c r="O68" s="113"/>
    </row>
  </sheetData>
  <sheetProtection password="A575" sheet="1" objects="1" scenarios="1" selectLockedCells="1"/>
  <mergeCells count="3">
    <mergeCell ref="I62:K62"/>
    <mergeCell ref="I64:K64"/>
    <mergeCell ref="I66:K66"/>
  </mergeCells>
  <dataValidations count="2">
    <dataValidation type="decimal" allowBlank="1" showInputMessage="1" showErrorMessage="1" errorTitle="Validation Error" error="Incorrect data type (numers/decimal only)" sqref="C20:P29 Q20:Q28 Q29 O35 Q35 C45 C47">
      <formula1>0</formula1>
      <formula2>9.99999999999999E+31</formula2>
    </dataValidation>
    <dataValidation type="decimal" allowBlank="1" showInputMessage="1" showErrorMessage="1" errorTitle="Validation Error" error="incorrect data type (number/decimal only)" sqref="I62:I66">
      <formula1>0</formula1>
      <formula2>9.99999999999999E+29</formula2>
    </dataValidation>
  </dataValidations>
  <printOptions horizontalCentered="1" gridLinesSet="0"/>
  <pageMargins left="0" right="0" top="0.37" bottom="1" header="0.2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2:Y104"/>
  <sheetViews>
    <sheetView showGridLines="0" workbookViewId="0">
      <selection activeCell="I23" sqref="I23"/>
    </sheetView>
  </sheetViews>
  <sheetFormatPr defaultColWidth="8.8984375" defaultRowHeight="10.5" x14ac:dyDescent="0.25"/>
  <cols>
    <col min="1" max="1" width="2" style="130" customWidth="1"/>
    <col min="2" max="2" width="16.69921875" style="130" customWidth="1"/>
    <col min="3" max="3" width="5.8984375" style="130" customWidth="1"/>
    <col min="4" max="4" width="1.69921875" style="130" customWidth="1"/>
    <col min="5" max="5" width="9.69921875" style="130" customWidth="1"/>
    <col min="6" max="6" width="1.69921875" style="130" customWidth="1"/>
    <col min="7" max="7" width="5.8984375" style="130" customWidth="1"/>
    <col min="8" max="8" width="1.69921875" style="130" customWidth="1"/>
    <col min="9" max="9" width="9.69921875" style="130" customWidth="1"/>
    <col min="10" max="10" width="2.59765625" style="130" customWidth="1"/>
    <col min="11" max="11" width="5.8984375" style="130" customWidth="1"/>
    <col min="12" max="12" width="1.69921875" style="130" customWidth="1"/>
    <col min="13" max="13" width="9.69921875" style="130" customWidth="1"/>
    <col min="14" max="14" width="2.59765625" style="130" customWidth="1"/>
    <col min="15" max="15" width="1.69921875" style="130" customWidth="1"/>
    <col min="16" max="16" width="9" style="130" customWidth="1"/>
    <col min="17" max="17" width="1.69921875" style="130" customWidth="1"/>
    <col min="18" max="18" width="10.69921875" style="130" customWidth="1"/>
    <col min="19" max="16384" width="8.8984375" style="130"/>
  </cols>
  <sheetData>
    <row r="2" spans="1:18" x14ac:dyDescent="0.25">
      <c r="A2" s="126"/>
      <c r="B2" s="127"/>
      <c r="C2" s="127"/>
      <c r="D2" s="127"/>
      <c r="E2" s="127"/>
      <c r="F2" s="127"/>
      <c r="G2" s="127"/>
      <c r="H2" s="127"/>
      <c r="I2" s="80"/>
      <c r="J2" s="80"/>
      <c r="K2" s="127"/>
      <c r="L2" s="127"/>
      <c r="M2" s="127"/>
      <c r="N2" s="127"/>
      <c r="O2" s="127"/>
      <c r="P2" s="127"/>
      <c r="Q2" s="127"/>
      <c r="R2" s="126" t="s">
        <v>705</v>
      </c>
    </row>
    <row r="3" spans="1:18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x14ac:dyDescent="0.25">
      <c r="A4" s="131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x14ac:dyDescent="0.25">
      <c r="A5" s="13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x14ac:dyDescent="0.25">
      <c r="A6" s="131" t="s">
        <v>706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x14ac:dyDescent="0.25">
      <c r="A7" s="132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x14ac:dyDescent="0.25">
      <c r="A8" s="131" t="s">
        <v>72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11" spans="1:18" x14ac:dyDescent="0.25">
      <c r="D11" s="135"/>
      <c r="F11" s="128"/>
      <c r="H11" s="135"/>
      <c r="I11" s="128"/>
      <c r="J11" s="128"/>
      <c r="L11" s="135"/>
      <c r="M11" s="128"/>
      <c r="N11" s="128"/>
      <c r="O11" s="127"/>
      <c r="P11" s="134" t="s">
        <v>121</v>
      </c>
      <c r="Q11" s="134"/>
      <c r="R11" s="127"/>
    </row>
    <row r="12" spans="1:18" x14ac:dyDescent="0.25">
      <c r="A12" s="136" t="s">
        <v>5</v>
      </c>
      <c r="B12" s="136" t="s">
        <v>64</v>
      </c>
      <c r="C12" s="134"/>
      <c r="D12" s="134"/>
      <c r="E12" s="135" t="s">
        <v>61</v>
      </c>
      <c r="F12" s="127"/>
      <c r="G12" s="134"/>
      <c r="H12" s="134"/>
      <c r="I12" s="135" t="s">
        <v>62</v>
      </c>
      <c r="J12" s="127"/>
      <c r="K12" s="134"/>
      <c r="L12" s="134"/>
      <c r="M12" s="135" t="s">
        <v>63</v>
      </c>
      <c r="N12" s="127"/>
      <c r="O12" s="127"/>
      <c r="P12" s="134" t="s">
        <v>8</v>
      </c>
      <c r="Q12" s="134"/>
      <c r="R12" s="127"/>
    </row>
    <row r="13" spans="1:18" x14ac:dyDescent="0.25">
      <c r="C13" s="134"/>
      <c r="D13" s="134"/>
      <c r="E13" s="127"/>
      <c r="F13" s="127"/>
      <c r="G13" s="134"/>
      <c r="H13" s="134"/>
      <c r="I13" s="127"/>
      <c r="J13" s="127"/>
      <c r="K13" s="134"/>
      <c r="L13" s="134"/>
      <c r="M13" s="127"/>
      <c r="N13" s="127"/>
      <c r="O13" s="127"/>
      <c r="P13" s="134" t="s">
        <v>11</v>
      </c>
      <c r="Q13" s="134"/>
      <c r="R13" s="127"/>
    </row>
    <row r="15" spans="1:18" x14ac:dyDescent="0.25">
      <c r="C15" s="80" t="s">
        <v>13</v>
      </c>
      <c r="D15" s="80"/>
      <c r="E15" s="128" t="s">
        <v>14</v>
      </c>
      <c r="F15" s="80"/>
      <c r="G15" s="80" t="s">
        <v>13</v>
      </c>
      <c r="H15" s="80"/>
      <c r="I15" s="128" t="s">
        <v>14</v>
      </c>
      <c r="J15" s="80"/>
      <c r="K15" s="80" t="s">
        <v>13</v>
      </c>
      <c r="L15" s="80"/>
      <c r="M15" s="128" t="s">
        <v>14</v>
      </c>
      <c r="N15" s="80"/>
      <c r="O15" s="80"/>
      <c r="P15" s="80" t="s">
        <v>13</v>
      </c>
      <c r="Q15" s="80"/>
      <c r="R15" s="128" t="s">
        <v>14</v>
      </c>
    </row>
    <row r="16" spans="1:18" x14ac:dyDescent="0.25">
      <c r="C16" s="80"/>
      <c r="D16" s="80"/>
      <c r="E16" s="137" t="s">
        <v>15</v>
      </c>
      <c r="F16" s="138"/>
      <c r="G16" s="80"/>
      <c r="H16" s="80"/>
      <c r="I16" s="137" t="s">
        <v>15</v>
      </c>
      <c r="J16" s="138"/>
      <c r="K16" s="80"/>
      <c r="L16" s="80"/>
      <c r="M16" s="137" t="s">
        <v>15</v>
      </c>
      <c r="N16" s="138"/>
      <c r="O16" s="138"/>
      <c r="P16" s="80"/>
      <c r="Q16" s="80"/>
      <c r="R16" s="137" t="s">
        <v>15</v>
      </c>
    </row>
    <row r="17" spans="1:18" x14ac:dyDescent="0.2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13" x14ac:dyDescent="0.35">
      <c r="A18" s="130" t="s">
        <v>16</v>
      </c>
      <c r="B18" s="139" t="s">
        <v>17</v>
      </c>
      <c r="C18" s="77"/>
      <c r="D18" s="77"/>
      <c r="E18" s="77"/>
      <c r="F18" s="77"/>
      <c r="G18" s="77"/>
      <c r="H18" s="77"/>
      <c r="I18" s="77"/>
      <c r="J18" s="77"/>
      <c r="K18" s="77"/>
      <c r="L18" s="79"/>
      <c r="M18" s="77"/>
      <c r="N18" s="79"/>
      <c r="O18" s="79"/>
      <c r="P18" s="77"/>
      <c r="Q18" s="79"/>
      <c r="R18" s="77"/>
    </row>
    <row r="19" spans="1:18" ht="13" x14ac:dyDescent="0.35">
      <c r="B19" s="139"/>
      <c r="C19" s="77"/>
      <c r="D19" s="77"/>
      <c r="E19" s="77"/>
      <c r="F19" s="77"/>
      <c r="G19" s="77"/>
      <c r="H19" s="77"/>
      <c r="I19" s="77"/>
      <c r="J19" s="77"/>
      <c r="K19" s="77"/>
      <c r="L19" s="79"/>
      <c r="M19" s="77"/>
      <c r="N19" s="79"/>
      <c r="O19" s="79"/>
      <c r="P19" s="77"/>
      <c r="Q19" s="79"/>
      <c r="R19" s="77"/>
    </row>
    <row r="20" spans="1:18" ht="13" x14ac:dyDescent="0.35">
      <c r="B20" s="130" t="s">
        <v>117</v>
      </c>
      <c r="C20" s="62"/>
      <c r="D20" s="76"/>
      <c r="E20" s="62"/>
      <c r="F20" s="77"/>
      <c r="G20" s="62"/>
      <c r="H20" s="76"/>
      <c r="I20" s="62"/>
      <c r="J20" s="77"/>
      <c r="K20" s="62"/>
      <c r="L20" s="76"/>
      <c r="M20" s="62"/>
      <c r="N20" s="75"/>
      <c r="O20" s="75"/>
      <c r="P20" s="140">
        <f t="shared" ref="P20:P33" si="0">C20+G20+K20</f>
        <v>0</v>
      </c>
      <c r="Q20" s="76"/>
      <c r="R20" s="140">
        <f t="shared" ref="R20:R33" si="1">E20+I20+M20</f>
        <v>0</v>
      </c>
    </row>
    <row r="21" spans="1:18" ht="13" x14ac:dyDescent="0.35">
      <c r="B21" s="130" t="s">
        <v>707</v>
      </c>
      <c r="C21" s="62"/>
      <c r="D21" s="76"/>
      <c r="E21" s="62"/>
      <c r="F21" s="77"/>
      <c r="G21" s="62"/>
      <c r="H21" s="76"/>
      <c r="I21" s="62"/>
      <c r="J21" s="77"/>
      <c r="K21" s="62"/>
      <c r="L21" s="76"/>
      <c r="M21" s="62"/>
      <c r="N21" s="75"/>
      <c r="O21" s="75"/>
      <c r="P21" s="140">
        <f t="shared" si="0"/>
        <v>0</v>
      </c>
      <c r="Q21" s="76"/>
      <c r="R21" s="140">
        <f t="shared" si="1"/>
        <v>0</v>
      </c>
    </row>
    <row r="22" spans="1:18" ht="13" x14ac:dyDescent="0.35">
      <c r="B22" s="130" t="s">
        <v>708</v>
      </c>
      <c r="C22" s="62"/>
      <c r="D22" s="76"/>
      <c r="E22" s="62"/>
      <c r="F22" s="77"/>
      <c r="G22" s="62"/>
      <c r="H22" s="76"/>
      <c r="I22" s="62"/>
      <c r="J22" s="77"/>
      <c r="K22" s="62"/>
      <c r="L22" s="76"/>
      <c r="M22" s="62"/>
      <c r="N22" s="75"/>
      <c r="O22" s="75"/>
      <c r="P22" s="140">
        <f t="shared" si="0"/>
        <v>0</v>
      </c>
      <c r="Q22" s="76"/>
      <c r="R22" s="140">
        <f t="shared" si="1"/>
        <v>0</v>
      </c>
    </row>
    <row r="23" spans="1:18" ht="13" x14ac:dyDescent="0.35">
      <c r="B23" s="141" t="s">
        <v>709</v>
      </c>
      <c r="C23" s="62"/>
      <c r="D23" s="76"/>
      <c r="E23" s="62"/>
      <c r="F23" s="77"/>
      <c r="G23" s="62"/>
      <c r="H23" s="76"/>
      <c r="I23" s="62"/>
      <c r="J23" s="77"/>
      <c r="K23" s="62"/>
      <c r="L23" s="76"/>
      <c r="M23" s="62"/>
      <c r="N23" s="75"/>
      <c r="O23" s="75"/>
      <c r="P23" s="140">
        <f t="shared" si="0"/>
        <v>0</v>
      </c>
      <c r="Q23" s="76"/>
      <c r="R23" s="140">
        <f t="shared" si="1"/>
        <v>0</v>
      </c>
    </row>
    <row r="24" spans="1:18" ht="13" x14ac:dyDescent="0.35">
      <c r="B24" s="130" t="s">
        <v>710</v>
      </c>
      <c r="C24" s="62"/>
      <c r="D24" s="76"/>
      <c r="E24" s="62"/>
      <c r="F24" s="77"/>
      <c r="G24" s="62"/>
      <c r="H24" s="76"/>
      <c r="I24" s="62"/>
      <c r="J24" s="77"/>
      <c r="K24" s="62"/>
      <c r="L24" s="76"/>
      <c r="M24" s="62"/>
      <c r="N24" s="75"/>
      <c r="O24" s="75"/>
      <c r="P24" s="140">
        <f t="shared" si="0"/>
        <v>0</v>
      </c>
      <c r="Q24" s="76"/>
      <c r="R24" s="140">
        <f t="shared" si="1"/>
        <v>0</v>
      </c>
    </row>
    <row r="25" spans="1:18" ht="13" x14ac:dyDescent="0.35">
      <c r="B25" s="130" t="s">
        <v>711</v>
      </c>
      <c r="C25" s="62"/>
      <c r="D25" s="76"/>
      <c r="E25" s="62"/>
      <c r="F25" s="77"/>
      <c r="G25" s="62"/>
      <c r="H25" s="76"/>
      <c r="I25" s="62"/>
      <c r="J25" s="77"/>
      <c r="K25" s="62"/>
      <c r="L25" s="76"/>
      <c r="M25" s="62"/>
      <c r="N25" s="75"/>
      <c r="O25" s="75"/>
      <c r="P25" s="140">
        <f t="shared" si="0"/>
        <v>0</v>
      </c>
      <c r="Q25" s="76"/>
      <c r="R25" s="140">
        <f t="shared" si="1"/>
        <v>0</v>
      </c>
    </row>
    <row r="26" spans="1:18" ht="13" x14ac:dyDescent="0.35">
      <c r="B26" s="130" t="s">
        <v>712</v>
      </c>
      <c r="C26" s="62"/>
      <c r="D26" s="76"/>
      <c r="E26" s="62"/>
      <c r="F26" s="77"/>
      <c r="G26" s="62"/>
      <c r="H26" s="76"/>
      <c r="I26" s="62"/>
      <c r="J26" s="77"/>
      <c r="K26" s="62"/>
      <c r="L26" s="76"/>
      <c r="M26" s="62"/>
      <c r="N26" s="75"/>
      <c r="O26" s="75"/>
      <c r="P26" s="140">
        <f t="shared" si="0"/>
        <v>0</v>
      </c>
      <c r="Q26" s="76"/>
      <c r="R26" s="140">
        <f t="shared" si="1"/>
        <v>0</v>
      </c>
    </row>
    <row r="27" spans="1:18" ht="13" x14ac:dyDescent="0.35">
      <c r="B27" s="130" t="s">
        <v>713</v>
      </c>
      <c r="C27" s="62"/>
      <c r="D27" s="76"/>
      <c r="E27" s="62"/>
      <c r="F27" s="77"/>
      <c r="G27" s="62"/>
      <c r="H27" s="76"/>
      <c r="I27" s="62"/>
      <c r="J27" s="77"/>
      <c r="K27" s="62"/>
      <c r="L27" s="76"/>
      <c r="M27" s="62"/>
      <c r="N27" s="75"/>
      <c r="O27" s="75"/>
      <c r="P27" s="140">
        <f t="shared" si="0"/>
        <v>0</v>
      </c>
      <c r="Q27" s="76"/>
      <c r="R27" s="140">
        <f t="shared" si="1"/>
        <v>0</v>
      </c>
    </row>
    <row r="28" spans="1:18" ht="13" x14ac:dyDescent="0.35">
      <c r="B28" s="130" t="s">
        <v>714</v>
      </c>
      <c r="C28" s="62"/>
      <c r="D28" s="76"/>
      <c r="E28" s="62"/>
      <c r="F28" s="77"/>
      <c r="G28" s="62"/>
      <c r="H28" s="76"/>
      <c r="I28" s="62"/>
      <c r="J28" s="77"/>
      <c r="K28" s="62"/>
      <c r="L28" s="76"/>
      <c r="M28" s="62"/>
      <c r="N28" s="75"/>
      <c r="O28" s="75"/>
      <c r="P28" s="140">
        <f t="shared" si="0"/>
        <v>0</v>
      </c>
      <c r="Q28" s="76"/>
      <c r="R28" s="140">
        <f t="shared" si="1"/>
        <v>0</v>
      </c>
    </row>
    <row r="29" spans="1:18" ht="13" x14ac:dyDescent="0.35">
      <c r="B29" s="130" t="s">
        <v>715</v>
      </c>
      <c r="C29" s="62"/>
      <c r="D29" s="76"/>
      <c r="E29" s="62"/>
      <c r="F29" s="77"/>
      <c r="G29" s="62"/>
      <c r="H29" s="76"/>
      <c r="I29" s="62"/>
      <c r="J29" s="77"/>
      <c r="K29" s="62"/>
      <c r="L29" s="76"/>
      <c r="M29" s="62"/>
      <c r="N29" s="75"/>
      <c r="O29" s="75"/>
      <c r="P29" s="140">
        <f t="shared" si="0"/>
        <v>0</v>
      </c>
      <c r="Q29" s="76"/>
      <c r="R29" s="140">
        <f t="shared" si="1"/>
        <v>0</v>
      </c>
    </row>
    <row r="30" spans="1:18" ht="13" x14ac:dyDescent="0.35">
      <c r="B30" s="130" t="s">
        <v>716</v>
      </c>
      <c r="C30" s="62"/>
      <c r="D30" s="76"/>
      <c r="E30" s="62"/>
      <c r="F30" s="77"/>
      <c r="G30" s="62"/>
      <c r="H30" s="76"/>
      <c r="I30" s="62"/>
      <c r="J30" s="77"/>
      <c r="K30" s="62"/>
      <c r="L30" s="76"/>
      <c r="M30" s="62"/>
      <c r="N30" s="75"/>
      <c r="O30" s="75"/>
      <c r="P30" s="140">
        <f t="shared" si="0"/>
        <v>0</v>
      </c>
      <c r="Q30" s="76"/>
      <c r="R30" s="140">
        <f t="shared" si="1"/>
        <v>0</v>
      </c>
    </row>
    <row r="31" spans="1:18" ht="13" x14ac:dyDescent="0.35">
      <c r="B31" s="130" t="s">
        <v>717</v>
      </c>
      <c r="C31" s="62"/>
      <c r="D31" s="76"/>
      <c r="E31" s="62"/>
      <c r="F31" s="77"/>
      <c r="G31" s="62"/>
      <c r="H31" s="76"/>
      <c r="I31" s="62"/>
      <c r="J31" s="77"/>
      <c r="K31" s="62"/>
      <c r="L31" s="76"/>
      <c r="M31" s="62"/>
      <c r="N31" s="75"/>
      <c r="O31" s="75"/>
      <c r="P31" s="140">
        <f t="shared" si="0"/>
        <v>0</v>
      </c>
      <c r="Q31" s="76"/>
      <c r="R31" s="140">
        <f t="shared" si="1"/>
        <v>0</v>
      </c>
    </row>
    <row r="32" spans="1:18" ht="13" x14ac:dyDescent="0.35">
      <c r="B32" s="130" t="s">
        <v>718</v>
      </c>
      <c r="C32" s="62"/>
      <c r="D32" s="76"/>
      <c r="E32" s="62"/>
      <c r="F32" s="77"/>
      <c r="G32" s="62"/>
      <c r="H32" s="76"/>
      <c r="I32" s="62"/>
      <c r="J32" s="77"/>
      <c r="K32" s="62"/>
      <c r="L32" s="76"/>
      <c r="M32" s="62"/>
      <c r="N32" s="75"/>
      <c r="O32" s="75"/>
      <c r="P32" s="140">
        <f t="shared" si="0"/>
        <v>0</v>
      </c>
      <c r="Q32" s="76"/>
      <c r="R32" s="140">
        <f t="shared" si="1"/>
        <v>0</v>
      </c>
    </row>
    <row r="33" spans="1:18" ht="13" x14ac:dyDescent="0.35">
      <c r="B33" s="130" t="s">
        <v>54</v>
      </c>
      <c r="C33" s="62"/>
      <c r="D33" s="76"/>
      <c r="E33" s="62"/>
      <c r="F33" s="77"/>
      <c r="G33" s="62"/>
      <c r="H33" s="76"/>
      <c r="I33" s="62"/>
      <c r="J33" s="77"/>
      <c r="K33" s="62"/>
      <c r="L33" s="76"/>
      <c r="M33" s="62"/>
      <c r="N33" s="75"/>
      <c r="O33" s="75"/>
      <c r="P33" s="140">
        <f t="shared" si="0"/>
        <v>0</v>
      </c>
      <c r="Q33" s="76"/>
      <c r="R33" s="140">
        <f t="shared" si="1"/>
        <v>0</v>
      </c>
    </row>
    <row r="34" spans="1:18" x14ac:dyDescent="0.25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x14ac:dyDescent="0.25">
      <c r="A35" s="130" t="s">
        <v>18</v>
      </c>
      <c r="B35" s="139" t="s">
        <v>19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ht="13" x14ac:dyDescent="0.35">
      <c r="B36" s="139" t="s">
        <v>128</v>
      </c>
      <c r="C36" s="77"/>
      <c r="D36" s="77"/>
      <c r="E36" s="77"/>
      <c r="F36" s="77"/>
      <c r="G36" s="77"/>
      <c r="H36" s="77"/>
      <c r="I36" s="77"/>
      <c r="J36" s="77"/>
      <c r="K36" s="77"/>
      <c r="L36" s="79"/>
      <c r="M36" s="77"/>
      <c r="N36" s="79"/>
      <c r="O36" s="79"/>
      <c r="P36" s="77"/>
      <c r="Q36" s="79"/>
      <c r="R36" s="77"/>
    </row>
    <row r="37" spans="1:18" ht="13" x14ac:dyDescent="0.35">
      <c r="B37" s="130" t="s">
        <v>117</v>
      </c>
      <c r="C37" s="62"/>
      <c r="D37" s="76"/>
      <c r="E37" s="62"/>
      <c r="F37" s="77"/>
      <c r="G37" s="62"/>
      <c r="H37" s="76"/>
      <c r="I37" s="62"/>
      <c r="J37" s="77"/>
      <c r="K37" s="62"/>
      <c r="L37" s="76"/>
      <c r="M37" s="62"/>
      <c r="N37" s="79"/>
      <c r="O37" s="79"/>
      <c r="P37" s="140">
        <f t="shared" ref="P37:P50" si="2">C37+G37+K37</f>
        <v>0</v>
      </c>
      <c r="Q37" s="76"/>
      <c r="R37" s="140">
        <f t="shared" ref="R37:R50" si="3">E37+I37+M37</f>
        <v>0</v>
      </c>
    </row>
    <row r="38" spans="1:18" ht="13" x14ac:dyDescent="0.35">
      <c r="B38" s="130" t="s">
        <v>707</v>
      </c>
      <c r="C38" s="62"/>
      <c r="D38" s="76"/>
      <c r="E38" s="62"/>
      <c r="F38" s="77"/>
      <c r="G38" s="62"/>
      <c r="H38" s="76"/>
      <c r="I38" s="62"/>
      <c r="J38" s="77"/>
      <c r="K38" s="62"/>
      <c r="L38" s="76"/>
      <c r="M38" s="62"/>
      <c r="N38" s="79"/>
      <c r="O38" s="79"/>
      <c r="P38" s="140">
        <f t="shared" si="2"/>
        <v>0</v>
      </c>
      <c r="Q38" s="76"/>
      <c r="R38" s="140">
        <f t="shared" si="3"/>
        <v>0</v>
      </c>
    </row>
    <row r="39" spans="1:18" ht="13" x14ac:dyDescent="0.35">
      <c r="B39" s="130" t="s">
        <v>708</v>
      </c>
      <c r="C39" s="62"/>
      <c r="D39" s="76"/>
      <c r="E39" s="62"/>
      <c r="F39" s="77"/>
      <c r="G39" s="62"/>
      <c r="H39" s="76"/>
      <c r="I39" s="62"/>
      <c r="J39" s="77"/>
      <c r="K39" s="62"/>
      <c r="L39" s="76"/>
      <c r="M39" s="62"/>
      <c r="N39" s="79"/>
      <c r="O39" s="79"/>
      <c r="P39" s="140">
        <f t="shared" si="2"/>
        <v>0</v>
      </c>
      <c r="Q39" s="76"/>
      <c r="R39" s="140">
        <f t="shared" si="3"/>
        <v>0</v>
      </c>
    </row>
    <row r="40" spans="1:18" ht="13" x14ac:dyDescent="0.35">
      <c r="B40" s="141" t="s">
        <v>709</v>
      </c>
      <c r="C40" s="62"/>
      <c r="D40" s="76"/>
      <c r="E40" s="62"/>
      <c r="F40" s="77"/>
      <c r="G40" s="62"/>
      <c r="H40" s="76"/>
      <c r="I40" s="62"/>
      <c r="J40" s="77"/>
      <c r="K40" s="62"/>
      <c r="L40" s="76"/>
      <c r="M40" s="62"/>
      <c r="N40" s="79"/>
      <c r="O40" s="79"/>
      <c r="P40" s="140">
        <f t="shared" si="2"/>
        <v>0</v>
      </c>
      <c r="Q40" s="76"/>
      <c r="R40" s="140">
        <f t="shared" si="3"/>
        <v>0</v>
      </c>
    </row>
    <row r="41" spans="1:18" ht="13" x14ac:dyDescent="0.35">
      <c r="B41" s="130" t="s">
        <v>710</v>
      </c>
      <c r="C41" s="62"/>
      <c r="D41" s="76"/>
      <c r="E41" s="62"/>
      <c r="F41" s="77"/>
      <c r="G41" s="62"/>
      <c r="H41" s="76"/>
      <c r="I41" s="62"/>
      <c r="J41" s="77"/>
      <c r="K41" s="62"/>
      <c r="L41" s="76"/>
      <c r="M41" s="62"/>
      <c r="N41" s="79"/>
      <c r="O41" s="79"/>
      <c r="P41" s="140">
        <f t="shared" si="2"/>
        <v>0</v>
      </c>
      <c r="Q41" s="76"/>
      <c r="R41" s="140">
        <f t="shared" si="3"/>
        <v>0</v>
      </c>
    </row>
    <row r="42" spans="1:18" ht="13" x14ac:dyDescent="0.35">
      <c r="B42" s="130" t="s">
        <v>711</v>
      </c>
      <c r="C42" s="62"/>
      <c r="D42" s="76"/>
      <c r="E42" s="62"/>
      <c r="F42" s="77"/>
      <c r="G42" s="62"/>
      <c r="H42" s="76"/>
      <c r="I42" s="62"/>
      <c r="J42" s="77"/>
      <c r="K42" s="62"/>
      <c r="L42" s="76"/>
      <c r="M42" s="62"/>
      <c r="N42" s="79"/>
      <c r="O42" s="79"/>
      <c r="P42" s="140">
        <f t="shared" si="2"/>
        <v>0</v>
      </c>
      <c r="Q42" s="76"/>
      <c r="R42" s="140">
        <f t="shared" si="3"/>
        <v>0</v>
      </c>
    </row>
    <row r="43" spans="1:18" ht="13" x14ac:dyDescent="0.35">
      <c r="B43" s="130" t="s">
        <v>712</v>
      </c>
      <c r="C43" s="62"/>
      <c r="D43" s="76"/>
      <c r="E43" s="62"/>
      <c r="F43" s="77"/>
      <c r="G43" s="62"/>
      <c r="H43" s="76"/>
      <c r="I43" s="62"/>
      <c r="J43" s="77"/>
      <c r="K43" s="62"/>
      <c r="L43" s="76"/>
      <c r="M43" s="62"/>
      <c r="N43" s="79"/>
      <c r="O43" s="79"/>
      <c r="P43" s="140">
        <f t="shared" si="2"/>
        <v>0</v>
      </c>
      <c r="Q43" s="76"/>
      <c r="R43" s="140">
        <f t="shared" si="3"/>
        <v>0</v>
      </c>
    </row>
    <row r="44" spans="1:18" ht="13" x14ac:dyDescent="0.35">
      <c r="B44" s="130" t="s">
        <v>713</v>
      </c>
      <c r="C44" s="62"/>
      <c r="D44" s="76"/>
      <c r="E44" s="62"/>
      <c r="F44" s="77"/>
      <c r="G44" s="62"/>
      <c r="H44" s="76"/>
      <c r="I44" s="62"/>
      <c r="J44" s="77"/>
      <c r="K44" s="62"/>
      <c r="L44" s="76"/>
      <c r="M44" s="62"/>
      <c r="N44" s="79"/>
      <c r="O44" s="79"/>
      <c r="P44" s="140">
        <f t="shared" si="2"/>
        <v>0</v>
      </c>
      <c r="Q44" s="76"/>
      <c r="R44" s="140">
        <f t="shared" si="3"/>
        <v>0</v>
      </c>
    </row>
    <row r="45" spans="1:18" ht="13" x14ac:dyDescent="0.35">
      <c r="B45" s="130" t="s">
        <v>714</v>
      </c>
      <c r="C45" s="62"/>
      <c r="D45" s="76"/>
      <c r="E45" s="62"/>
      <c r="F45" s="77"/>
      <c r="G45" s="62"/>
      <c r="H45" s="76"/>
      <c r="I45" s="62"/>
      <c r="J45" s="77"/>
      <c r="K45" s="62"/>
      <c r="L45" s="76"/>
      <c r="M45" s="62"/>
      <c r="N45" s="79"/>
      <c r="O45" s="79"/>
      <c r="P45" s="140">
        <f t="shared" si="2"/>
        <v>0</v>
      </c>
      <c r="Q45" s="76"/>
      <c r="R45" s="140">
        <f t="shared" si="3"/>
        <v>0</v>
      </c>
    </row>
    <row r="46" spans="1:18" ht="13" x14ac:dyDescent="0.35">
      <c r="B46" s="130" t="s">
        <v>715</v>
      </c>
      <c r="C46" s="62"/>
      <c r="D46" s="76"/>
      <c r="E46" s="62"/>
      <c r="F46" s="77"/>
      <c r="G46" s="62"/>
      <c r="H46" s="76"/>
      <c r="I46" s="62"/>
      <c r="J46" s="77"/>
      <c r="K46" s="62"/>
      <c r="L46" s="76"/>
      <c r="M46" s="62"/>
      <c r="N46" s="79"/>
      <c r="O46" s="79"/>
      <c r="P46" s="140">
        <f t="shared" si="2"/>
        <v>0</v>
      </c>
      <c r="Q46" s="76"/>
      <c r="R46" s="140">
        <f t="shared" si="3"/>
        <v>0</v>
      </c>
    </row>
    <row r="47" spans="1:18" ht="13" x14ac:dyDescent="0.35">
      <c r="B47" s="130" t="s">
        <v>716</v>
      </c>
      <c r="C47" s="62"/>
      <c r="D47" s="76"/>
      <c r="E47" s="62"/>
      <c r="F47" s="77"/>
      <c r="G47" s="62"/>
      <c r="H47" s="76"/>
      <c r="I47" s="62"/>
      <c r="J47" s="77"/>
      <c r="K47" s="62"/>
      <c r="L47" s="76"/>
      <c r="M47" s="62"/>
      <c r="N47" s="79"/>
      <c r="O47" s="79"/>
      <c r="P47" s="140">
        <f t="shared" si="2"/>
        <v>0</v>
      </c>
      <c r="Q47" s="76"/>
      <c r="R47" s="140">
        <f t="shared" si="3"/>
        <v>0</v>
      </c>
    </row>
    <row r="48" spans="1:18" ht="13" x14ac:dyDescent="0.35">
      <c r="B48" s="130" t="s">
        <v>717</v>
      </c>
      <c r="C48" s="62"/>
      <c r="D48" s="76"/>
      <c r="E48" s="62"/>
      <c r="F48" s="77"/>
      <c r="G48" s="62"/>
      <c r="H48" s="76"/>
      <c r="I48" s="62"/>
      <c r="J48" s="77"/>
      <c r="K48" s="62"/>
      <c r="L48" s="76"/>
      <c r="M48" s="62"/>
      <c r="N48" s="79"/>
      <c r="O48" s="79"/>
      <c r="P48" s="140">
        <f t="shared" si="2"/>
        <v>0</v>
      </c>
      <c r="Q48" s="76"/>
      <c r="R48" s="140">
        <f t="shared" si="3"/>
        <v>0</v>
      </c>
    </row>
    <row r="49" spans="1:18" ht="13" x14ac:dyDescent="0.35">
      <c r="B49" s="130" t="s">
        <v>718</v>
      </c>
      <c r="C49" s="62"/>
      <c r="D49" s="76"/>
      <c r="E49" s="62"/>
      <c r="F49" s="77"/>
      <c r="G49" s="62"/>
      <c r="H49" s="76"/>
      <c r="I49" s="62"/>
      <c r="J49" s="77"/>
      <c r="K49" s="62"/>
      <c r="L49" s="76"/>
      <c r="M49" s="62"/>
      <c r="N49" s="79"/>
      <c r="O49" s="79"/>
      <c r="P49" s="140">
        <f t="shared" si="2"/>
        <v>0</v>
      </c>
      <c r="Q49" s="76"/>
      <c r="R49" s="140">
        <f t="shared" si="3"/>
        <v>0</v>
      </c>
    </row>
    <row r="50" spans="1:18" ht="13" x14ac:dyDescent="0.35">
      <c r="B50" s="130" t="s">
        <v>54</v>
      </c>
      <c r="C50" s="62"/>
      <c r="D50" s="76"/>
      <c r="E50" s="62"/>
      <c r="F50" s="77"/>
      <c r="G50" s="62"/>
      <c r="H50" s="76"/>
      <c r="I50" s="62"/>
      <c r="J50" s="77"/>
      <c r="K50" s="62"/>
      <c r="L50" s="76"/>
      <c r="M50" s="62"/>
      <c r="N50" s="79"/>
      <c r="O50" s="79"/>
      <c r="P50" s="140">
        <f t="shared" si="2"/>
        <v>0</v>
      </c>
      <c r="Q50" s="76"/>
      <c r="R50" s="140">
        <f t="shared" si="3"/>
        <v>0</v>
      </c>
    </row>
    <row r="51" spans="1:18" ht="13" x14ac:dyDescent="0.35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13" x14ac:dyDescent="0.35">
      <c r="A52" s="130" t="s">
        <v>20</v>
      </c>
      <c r="B52" s="139" t="s">
        <v>21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13" x14ac:dyDescent="0.35">
      <c r="B53" s="139" t="s">
        <v>129</v>
      </c>
      <c r="C53" s="77"/>
      <c r="D53" s="77"/>
      <c r="E53" s="77"/>
      <c r="F53" s="77"/>
      <c r="G53" s="77"/>
      <c r="H53" s="77"/>
      <c r="I53" s="77"/>
      <c r="J53" s="77"/>
      <c r="K53" s="77"/>
      <c r="L53" s="79"/>
      <c r="M53" s="77"/>
      <c r="N53" s="79"/>
      <c r="O53" s="79"/>
      <c r="P53" s="77"/>
      <c r="Q53" s="79"/>
      <c r="R53" s="77"/>
    </row>
    <row r="54" spans="1:18" ht="13" x14ac:dyDescent="0.35">
      <c r="B54" s="130" t="s">
        <v>117</v>
      </c>
      <c r="C54" s="62"/>
      <c r="D54" s="76"/>
      <c r="E54" s="62"/>
      <c r="F54" s="77"/>
      <c r="G54" s="62"/>
      <c r="H54" s="76"/>
      <c r="I54" s="62"/>
      <c r="J54" s="77"/>
      <c r="K54" s="62"/>
      <c r="L54" s="76"/>
      <c r="M54" s="62"/>
      <c r="N54" s="79"/>
      <c r="O54" s="79"/>
      <c r="P54" s="140">
        <f t="shared" ref="P54:P67" si="4">C54+G54+K54</f>
        <v>0</v>
      </c>
      <c r="Q54" s="76"/>
      <c r="R54" s="140">
        <f t="shared" ref="R54:R67" si="5">E54+I54+M54</f>
        <v>0</v>
      </c>
    </row>
    <row r="55" spans="1:18" ht="13" x14ac:dyDescent="0.35">
      <c r="B55" s="130" t="s">
        <v>707</v>
      </c>
      <c r="C55" s="62"/>
      <c r="D55" s="76"/>
      <c r="E55" s="62"/>
      <c r="F55" s="77"/>
      <c r="G55" s="62"/>
      <c r="H55" s="76"/>
      <c r="I55" s="62"/>
      <c r="J55" s="77"/>
      <c r="K55" s="62"/>
      <c r="L55" s="76"/>
      <c r="M55" s="62"/>
      <c r="N55" s="79"/>
      <c r="O55" s="79"/>
      <c r="P55" s="140">
        <f t="shared" si="4"/>
        <v>0</v>
      </c>
      <c r="Q55" s="76"/>
      <c r="R55" s="140">
        <f t="shared" si="5"/>
        <v>0</v>
      </c>
    </row>
    <row r="56" spans="1:18" ht="13" x14ac:dyDescent="0.35">
      <c r="B56" s="130" t="s">
        <v>708</v>
      </c>
      <c r="C56" s="62"/>
      <c r="D56" s="76"/>
      <c r="E56" s="62"/>
      <c r="F56" s="77"/>
      <c r="G56" s="62"/>
      <c r="H56" s="76"/>
      <c r="I56" s="62"/>
      <c r="J56" s="77"/>
      <c r="K56" s="62"/>
      <c r="L56" s="76"/>
      <c r="M56" s="62"/>
      <c r="N56" s="79"/>
      <c r="O56" s="79"/>
      <c r="P56" s="140">
        <f t="shared" si="4"/>
        <v>0</v>
      </c>
      <c r="Q56" s="76"/>
      <c r="R56" s="140">
        <f t="shared" si="5"/>
        <v>0</v>
      </c>
    </row>
    <row r="57" spans="1:18" ht="13" x14ac:dyDescent="0.35">
      <c r="B57" s="141" t="s">
        <v>709</v>
      </c>
      <c r="C57" s="62"/>
      <c r="D57" s="76"/>
      <c r="E57" s="62"/>
      <c r="F57" s="77"/>
      <c r="G57" s="62"/>
      <c r="H57" s="76"/>
      <c r="I57" s="62"/>
      <c r="J57" s="77"/>
      <c r="K57" s="62"/>
      <c r="L57" s="76"/>
      <c r="M57" s="62"/>
      <c r="N57" s="79"/>
      <c r="O57" s="79"/>
      <c r="P57" s="140">
        <f t="shared" si="4"/>
        <v>0</v>
      </c>
      <c r="Q57" s="76"/>
      <c r="R57" s="140">
        <f t="shared" si="5"/>
        <v>0</v>
      </c>
    </row>
    <row r="58" spans="1:18" ht="13" x14ac:dyDescent="0.35">
      <c r="B58" s="130" t="s">
        <v>710</v>
      </c>
      <c r="C58" s="62"/>
      <c r="D58" s="76"/>
      <c r="E58" s="62"/>
      <c r="F58" s="77"/>
      <c r="G58" s="62"/>
      <c r="H58" s="76"/>
      <c r="I58" s="62"/>
      <c r="J58" s="77"/>
      <c r="K58" s="62"/>
      <c r="L58" s="76"/>
      <c r="M58" s="62"/>
      <c r="N58" s="79"/>
      <c r="O58" s="79"/>
      <c r="P58" s="140">
        <f t="shared" si="4"/>
        <v>0</v>
      </c>
      <c r="Q58" s="76"/>
      <c r="R58" s="140">
        <f t="shared" si="5"/>
        <v>0</v>
      </c>
    </row>
    <row r="59" spans="1:18" ht="13" x14ac:dyDescent="0.35">
      <c r="B59" s="130" t="s">
        <v>711</v>
      </c>
      <c r="C59" s="62"/>
      <c r="D59" s="76"/>
      <c r="E59" s="62"/>
      <c r="F59" s="77"/>
      <c r="G59" s="62"/>
      <c r="H59" s="76"/>
      <c r="I59" s="62"/>
      <c r="J59" s="77"/>
      <c r="K59" s="62"/>
      <c r="L59" s="76"/>
      <c r="M59" s="62"/>
      <c r="N59" s="79"/>
      <c r="O59" s="79"/>
      <c r="P59" s="140">
        <f t="shared" si="4"/>
        <v>0</v>
      </c>
      <c r="Q59" s="76"/>
      <c r="R59" s="140">
        <f t="shared" si="5"/>
        <v>0</v>
      </c>
    </row>
    <row r="60" spans="1:18" ht="13" x14ac:dyDescent="0.35">
      <c r="B60" s="130" t="s">
        <v>712</v>
      </c>
      <c r="C60" s="62"/>
      <c r="D60" s="76"/>
      <c r="E60" s="62"/>
      <c r="F60" s="77"/>
      <c r="G60" s="62"/>
      <c r="H60" s="76"/>
      <c r="I60" s="62"/>
      <c r="J60" s="77"/>
      <c r="K60" s="62"/>
      <c r="L60" s="76"/>
      <c r="M60" s="62"/>
      <c r="N60" s="79"/>
      <c r="O60" s="79"/>
      <c r="P60" s="140">
        <f t="shared" si="4"/>
        <v>0</v>
      </c>
      <c r="Q60" s="76"/>
      <c r="R60" s="140">
        <f t="shared" si="5"/>
        <v>0</v>
      </c>
    </row>
    <row r="61" spans="1:18" ht="13" x14ac:dyDescent="0.35">
      <c r="B61" s="130" t="s">
        <v>713</v>
      </c>
      <c r="C61" s="62"/>
      <c r="D61" s="76"/>
      <c r="E61" s="62"/>
      <c r="F61" s="77"/>
      <c r="G61" s="62"/>
      <c r="H61" s="76"/>
      <c r="I61" s="62"/>
      <c r="J61" s="77"/>
      <c r="K61" s="62"/>
      <c r="L61" s="76"/>
      <c r="M61" s="62"/>
      <c r="N61" s="79"/>
      <c r="O61" s="79"/>
      <c r="P61" s="140">
        <f t="shared" si="4"/>
        <v>0</v>
      </c>
      <c r="Q61" s="76"/>
      <c r="R61" s="140">
        <f t="shared" si="5"/>
        <v>0</v>
      </c>
    </row>
    <row r="62" spans="1:18" ht="13" x14ac:dyDescent="0.35">
      <c r="B62" s="130" t="s">
        <v>714</v>
      </c>
      <c r="C62" s="62"/>
      <c r="D62" s="76"/>
      <c r="E62" s="62"/>
      <c r="F62" s="77"/>
      <c r="G62" s="62"/>
      <c r="H62" s="76"/>
      <c r="I62" s="62"/>
      <c r="J62" s="77"/>
      <c r="K62" s="62"/>
      <c r="L62" s="76"/>
      <c r="M62" s="62"/>
      <c r="N62" s="79"/>
      <c r="O62" s="79"/>
      <c r="P62" s="140">
        <f t="shared" si="4"/>
        <v>0</v>
      </c>
      <c r="Q62" s="76"/>
      <c r="R62" s="140">
        <f t="shared" si="5"/>
        <v>0</v>
      </c>
    </row>
    <row r="63" spans="1:18" ht="13" x14ac:dyDescent="0.35">
      <c r="B63" s="130" t="s">
        <v>715</v>
      </c>
      <c r="C63" s="62"/>
      <c r="D63" s="76"/>
      <c r="E63" s="62"/>
      <c r="F63" s="77"/>
      <c r="G63" s="62"/>
      <c r="H63" s="76"/>
      <c r="I63" s="62"/>
      <c r="J63" s="77"/>
      <c r="K63" s="62"/>
      <c r="L63" s="76"/>
      <c r="M63" s="62"/>
      <c r="N63" s="79"/>
      <c r="O63" s="79"/>
      <c r="P63" s="140">
        <f t="shared" si="4"/>
        <v>0</v>
      </c>
      <c r="Q63" s="76"/>
      <c r="R63" s="140">
        <f t="shared" si="5"/>
        <v>0</v>
      </c>
    </row>
    <row r="64" spans="1:18" ht="13" x14ac:dyDescent="0.35">
      <c r="B64" s="130" t="s">
        <v>716</v>
      </c>
      <c r="C64" s="62"/>
      <c r="D64" s="76"/>
      <c r="E64" s="62"/>
      <c r="F64" s="77"/>
      <c r="G64" s="62"/>
      <c r="H64" s="76"/>
      <c r="I64" s="62"/>
      <c r="J64" s="77"/>
      <c r="K64" s="62"/>
      <c r="L64" s="76"/>
      <c r="M64" s="62"/>
      <c r="N64" s="79"/>
      <c r="O64" s="79"/>
      <c r="P64" s="140">
        <f t="shared" si="4"/>
        <v>0</v>
      </c>
      <c r="Q64" s="76"/>
      <c r="R64" s="140">
        <f t="shared" si="5"/>
        <v>0</v>
      </c>
    </row>
    <row r="65" spans="1:18" ht="13" x14ac:dyDescent="0.35">
      <c r="B65" s="130" t="s">
        <v>717</v>
      </c>
      <c r="C65" s="62"/>
      <c r="D65" s="76"/>
      <c r="E65" s="62"/>
      <c r="F65" s="77"/>
      <c r="G65" s="62"/>
      <c r="H65" s="76"/>
      <c r="I65" s="62"/>
      <c r="J65" s="77"/>
      <c r="K65" s="62"/>
      <c r="L65" s="76"/>
      <c r="M65" s="62"/>
      <c r="N65" s="79"/>
      <c r="O65" s="79"/>
      <c r="P65" s="140">
        <f t="shared" si="4"/>
        <v>0</v>
      </c>
      <c r="Q65" s="76"/>
      <c r="R65" s="140">
        <f t="shared" si="5"/>
        <v>0</v>
      </c>
    </row>
    <row r="66" spans="1:18" ht="13" x14ac:dyDescent="0.35">
      <c r="B66" s="130" t="s">
        <v>718</v>
      </c>
      <c r="C66" s="62"/>
      <c r="D66" s="76"/>
      <c r="E66" s="62"/>
      <c r="F66" s="77"/>
      <c r="G66" s="62"/>
      <c r="H66" s="76"/>
      <c r="I66" s="62"/>
      <c r="J66" s="77"/>
      <c r="K66" s="62"/>
      <c r="L66" s="76"/>
      <c r="M66" s="62"/>
      <c r="N66" s="79"/>
      <c r="O66" s="79"/>
      <c r="P66" s="140">
        <f t="shared" si="4"/>
        <v>0</v>
      </c>
      <c r="Q66" s="76"/>
      <c r="R66" s="140">
        <f t="shared" si="5"/>
        <v>0</v>
      </c>
    </row>
    <row r="67" spans="1:18" ht="13" x14ac:dyDescent="0.35">
      <c r="B67" s="130" t="s">
        <v>54</v>
      </c>
      <c r="C67" s="62"/>
      <c r="D67" s="76"/>
      <c r="E67" s="62"/>
      <c r="F67" s="77"/>
      <c r="G67" s="62"/>
      <c r="H67" s="76"/>
      <c r="I67" s="62"/>
      <c r="J67" s="77"/>
      <c r="K67" s="62"/>
      <c r="L67" s="76"/>
      <c r="M67" s="62"/>
      <c r="N67" s="79"/>
      <c r="O67" s="79"/>
      <c r="P67" s="140">
        <f t="shared" si="4"/>
        <v>0</v>
      </c>
      <c r="Q67" s="76"/>
      <c r="R67" s="140">
        <f t="shared" si="5"/>
        <v>0</v>
      </c>
    </row>
    <row r="68" spans="1:18" x14ac:dyDescent="0.25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18" x14ac:dyDescent="0.25">
      <c r="A69" s="130" t="s">
        <v>22</v>
      </c>
      <c r="B69" s="139" t="s">
        <v>23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1:18" ht="12" customHeight="1" x14ac:dyDescent="0.35">
      <c r="B70" s="139" t="s">
        <v>129</v>
      </c>
      <c r="C70" s="77"/>
      <c r="D70" s="77"/>
      <c r="E70" s="77"/>
      <c r="F70" s="77"/>
      <c r="G70" s="77"/>
      <c r="H70" s="77"/>
      <c r="I70" s="77"/>
      <c r="J70" s="77"/>
      <c r="K70" s="77"/>
      <c r="L70" s="79"/>
      <c r="M70" s="77"/>
      <c r="N70" s="79"/>
      <c r="O70" s="79"/>
      <c r="P70" s="77"/>
      <c r="Q70" s="79"/>
      <c r="R70" s="77"/>
    </row>
    <row r="71" spans="1:18" ht="12" customHeight="1" x14ac:dyDescent="0.35">
      <c r="B71" s="130" t="s">
        <v>117</v>
      </c>
      <c r="C71" s="62"/>
      <c r="D71" s="76"/>
      <c r="E71" s="62"/>
      <c r="F71" s="77"/>
      <c r="G71" s="62"/>
      <c r="H71" s="76"/>
      <c r="I71" s="62"/>
      <c r="J71" s="77"/>
      <c r="K71" s="62"/>
      <c r="L71" s="76"/>
      <c r="M71" s="62"/>
      <c r="N71" s="79"/>
      <c r="O71" s="79"/>
      <c r="P71" s="140">
        <f t="shared" ref="P71:P84" si="6">C71+G71+K71</f>
        <v>0</v>
      </c>
      <c r="Q71" s="76"/>
      <c r="R71" s="140">
        <f t="shared" ref="R71:R84" si="7">E71+I71+M71</f>
        <v>0</v>
      </c>
    </row>
    <row r="72" spans="1:18" ht="12" customHeight="1" x14ac:dyDescent="0.35">
      <c r="B72" s="130" t="s">
        <v>707</v>
      </c>
      <c r="C72" s="62"/>
      <c r="D72" s="76"/>
      <c r="E72" s="62"/>
      <c r="F72" s="77"/>
      <c r="G72" s="62"/>
      <c r="H72" s="76"/>
      <c r="I72" s="62"/>
      <c r="J72" s="77"/>
      <c r="K72" s="62"/>
      <c r="L72" s="76"/>
      <c r="M72" s="62"/>
      <c r="N72" s="79"/>
      <c r="O72" s="79"/>
      <c r="P72" s="140">
        <f t="shared" si="6"/>
        <v>0</v>
      </c>
      <c r="Q72" s="76"/>
      <c r="R72" s="140">
        <f t="shared" si="7"/>
        <v>0</v>
      </c>
    </row>
    <row r="73" spans="1:18" ht="13" x14ac:dyDescent="0.35">
      <c r="B73" s="130" t="s">
        <v>708</v>
      </c>
      <c r="C73" s="62"/>
      <c r="D73" s="76"/>
      <c r="E73" s="62"/>
      <c r="F73" s="77"/>
      <c r="G73" s="62"/>
      <c r="H73" s="76"/>
      <c r="I73" s="62"/>
      <c r="J73" s="77"/>
      <c r="K73" s="62"/>
      <c r="L73" s="76"/>
      <c r="M73" s="62"/>
      <c r="N73" s="79"/>
      <c r="O73" s="79"/>
      <c r="P73" s="140">
        <f t="shared" si="6"/>
        <v>0</v>
      </c>
      <c r="Q73" s="76"/>
      <c r="R73" s="140">
        <f t="shared" si="7"/>
        <v>0</v>
      </c>
    </row>
    <row r="74" spans="1:18" ht="13" x14ac:dyDescent="0.35">
      <c r="B74" s="141" t="s">
        <v>709</v>
      </c>
      <c r="C74" s="62"/>
      <c r="D74" s="76"/>
      <c r="E74" s="62"/>
      <c r="F74" s="77"/>
      <c r="G74" s="62"/>
      <c r="H74" s="76"/>
      <c r="I74" s="62"/>
      <c r="J74" s="77"/>
      <c r="K74" s="62"/>
      <c r="L74" s="76"/>
      <c r="M74" s="62"/>
      <c r="N74" s="79"/>
      <c r="O74" s="79"/>
      <c r="P74" s="140">
        <f t="shared" si="6"/>
        <v>0</v>
      </c>
      <c r="Q74" s="76"/>
      <c r="R74" s="140">
        <f t="shared" si="7"/>
        <v>0</v>
      </c>
    </row>
    <row r="75" spans="1:18" ht="13" x14ac:dyDescent="0.35">
      <c r="B75" s="130" t="s">
        <v>710</v>
      </c>
      <c r="C75" s="62"/>
      <c r="D75" s="76"/>
      <c r="E75" s="62"/>
      <c r="F75" s="77"/>
      <c r="G75" s="62"/>
      <c r="H75" s="76"/>
      <c r="I75" s="62"/>
      <c r="J75" s="77"/>
      <c r="K75" s="62"/>
      <c r="L75" s="76"/>
      <c r="M75" s="62"/>
      <c r="N75" s="79"/>
      <c r="O75" s="79"/>
      <c r="P75" s="140">
        <f t="shared" si="6"/>
        <v>0</v>
      </c>
      <c r="Q75" s="76"/>
      <c r="R75" s="140">
        <f t="shared" si="7"/>
        <v>0</v>
      </c>
    </row>
    <row r="76" spans="1:18" ht="13" x14ac:dyDescent="0.35">
      <c r="B76" s="130" t="s">
        <v>711</v>
      </c>
      <c r="C76" s="62"/>
      <c r="D76" s="76"/>
      <c r="E76" s="62"/>
      <c r="F76" s="77"/>
      <c r="G76" s="62"/>
      <c r="H76" s="76"/>
      <c r="I76" s="62"/>
      <c r="J76" s="77"/>
      <c r="K76" s="62"/>
      <c r="L76" s="76"/>
      <c r="M76" s="62"/>
      <c r="N76" s="79"/>
      <c r="O76" s="79"/>
      <c r="P76" s="140">
        <f t="shared" si="6"/>
        <v>0</v>
      </c>
      <c r="Q76" s="76"/>
      <c r="R76" s="140">
        <f t="shared" si="7"/>
        <v>0</v>
      </c>
    </row>
    <row r="77" spans="1:18" ht="13" x14ac:dyDescent="0.35">
      <c r="B77" s="130" t="s">
        <v>712</v>
      </c>
      <c r="C77" s="62"/>
      <c r="D77" s="76"/>
      <c r="E77" s="62"/>
      <c r="F77" s="77"/>
      <c r="G77" s="62"/>
      <c r="H77" s="76"/>
      <c r="I77" s="62"/>
      <c r="J77" s="77"/>
      <c r="K77" s="62"/>
      <c r="L77" s="76"/>
      <c r="M77" s="62"/>
      <c r="N77" s="79"/>
      <c r="O77" s="79"/>
      <c r="P77" s="140">
        <f t="shared" si="6"/>
        <v>0</v>
      </c>
      <c r="Q77" s="76"/>
      <c r="R77" s="140">
        <f t="shared" si="7"/>
        <v>0</v>
      </c>
    </row>
    <row r="78" spans="1:18" ht="13" x14ac:dyDescent="0.35">
      <c r="B78" s="130" t="s">
        <v>713</v>
      </c>
      <c r="C78" s="62"/>
      <c r="D78" s="76"/>
      <c r="E78" s="62"/>
      <c r="F78" s="77"/>
      <c r="G78" s="62"/>
      <c r="H78" s="76"/>
      <c r="I78" s="62"/>
      <c r="J78" s="77"/>
      <c r="K78" s="62"/>
      <c r="L78" s="76"/>
      <c r="M78" s="62"/>
      <c r="N78" s="79"/>
      <c r="O78" s="79"/>
      <c r="P78" s="140">
        <f t="shared" si="6"/>
        <v>0</v>
      </c>
      <c r="Q78" s="76"/>
      <c r="R78" s="140">
        <f t="shared" si="7"/>
        <v>0</v>
      </c>
    </row>
    <row r="79" spans="1:18" ht="13" x14ac:dyDescent="0.35">
      <c r="B79" s="130" t="s">
        <v>714</v>
      </c>
      <c r="C79" s="62"/>
      <c r="D79" s="76"/>
      <c r="E79" s="62"/>
      <c r="F79" s="77"/>
      <c r="G79" s="62"/>
      <c r="H79" s="76"/>
      <c r="I79" s="62"/>
      <c r="J79" s="77"/>
      <c r="K79" s="62"/>
      <c r="L79" s="76"/>
      <c r="M79" s="62"/>
      <c r="N79" s="79"/>
      <c r="O79" s="79"/>
      <c r="P79" s="140">
        <f t="shared" si="6"/>
        <v>0</v>
      </c>
      <c r="Q79" s="76"/>
      <c r="R79" s="140">
        <f t="shared" si="7"/>
        <v>0</v>
      </c>
    </row>
    <row r="80" spans="1:18" ht="13" x14ac:dyDescent="0.35">
      <c r="B80" s="130" t="s">
        <v>715</v>
      </c>
      <c r="C80" s="62"/>
      <c r="D80" s="76"/>
      <c r="E80" s="62"/>
      <c r="F80" s="77"/>
      <c r="G80" s="62"/>
      <c r="H80" s="76"/>
      <c r="I80" s="62"/>
      <c r="J80" s="77"/>
      <c r="K80" s="87"/>
      <c r="L80" s="76"/>
      <c r="M80" s="62"/>
      <c r="N80" s="79"/>
      <c r="O80" s="79"/>
      <c r="P80" s="140">
        <f t="shared" si="6"/>
        <v>0</v>
      </c>
      <c r="Q80" s="76"/>
      <c r="R80" s="140">
        <f t="shared" si="7"/>
        <v>0</v>
      </c>
    </row>
    <row r="81" spans="1:18" ht="13" x14ac:dyDescent="0.35">
      <c r="B81" s="130" t="s">
        <v>716</v>
      </c>
      <c r="C81" s="62"/>
      <c r="D81" s="76"/>
      <c r="E81" s="62"/>
      <c r="F81" s="77"/>
      <c r="G81" s="62"/>
      <c r="H81" s="76"/>
      <c r="I81" s="62"/>
      <c r="J81" s="77"/>
      <c r="K81" s="62"/>
      <c r="L81" s="76"/>
      <c r="M81" s="62"/>
      <c r="N81" s="79"/>
      <c r="O81" s="79"/>
      <c r="P81" s="140">
        <f t="shared" si="6"/>
        <v>0</v>
      </c>
      <c r="Q81" s="76"/>
      <c r="R81" s="140">
        <f t="shared" si="7"/>
        <v>0</v>
      </c>
    </row>
    <row r="82" spans="1:18" ht="13" x14ac:dyDescent="0.35">
      <c r="B82" s="130" t="s">
        <v>717</v>
      </c>
      <c r="C82" s="62"/>
      <c r="D82" s="76"/>
      <c r="E82" s="62"/>
      <c r="F82" s="77"/>
      <c r="G82" s="62"/>
      <c r="H82" s="76"/>
      <c r="I82" s="62"/>
      <c r="J82" s="77"/>
      <c r="K82" s="62"/>
      <c r="L82" s="76"/>
      <c r="M82" s="62"/>
      <c r="N82" s="79"/>
      <c r="O82" s="79"/>
      <c r="P82" s="140">
        <f t="shared" si="6"/>
        <v>0</v>
      </c>
      <c r="Q82" s="76"/>
      <c r="R82" s="140">
        <f t="shared" si="7"/>
        <v>0</v>
      </c>
    </row>
    <row r="83" spans="1:18" ht="13" x14ac:dyDescent="0.35">
      <c r="B83" s="130" t="s">
        <v>718</v>
      </c>
      <c r="C83" s="62"/>
      <c r="D83" s="76"/>
      <c r="E83" s="62"/>
      <c r="F83" s="77"/>
      <c r="G83" s="62"/>
      <c r="H83" s="76"/>
      <c r="I83" s="62"/>
      <c r="J83" s="77"/>
      <c r="K83" s="62"/>
      <c r="L83" s="76"/>
      <c r="M83" s="62"/>
      <c r="N83" s="79"/>
      <c r="O83" s="79"/>
      <c r="P83" s="140">
        <f t="shared" si="6"/>
        <v>0</v>
      </c>
      <c r="Q83" s="76"/>
      <c r="R83" s="140">
        <f t="shared" si="7"/>
        <v>0</v>
      </c>
    </row>
    <row r="84" spans="1:18" ht="13" x14ac:dyDescent="0.35">
      <c r="B84" s="130" t="s">
        <v>54</v>
      </c>
      <c r="C84" s="62"/>
      <c r="D84" s="76"/>
      <c r="E84" s="62"/>
      <c r="F84" s="77"/>
      <c r="G84" s="62"/>
      <c r="H84" s="76"/>
      <c r="I84" s="62"/>
      <c r="J84" s="77"/>
      <c r="K84" s="62"/>
      <c r="L84" s="76"/>
      <c r="M84" s="62"/>
      <c r="N84" s="79"/>
      <c r="O84" s="79"/>
      <c r="P84" s="140">
        <f t="shared" si="6"/>
        <v>0</v>
      </c>
      <c r="Q84" s="76"/>
      <c r="R84" s="140">
        <f t="shared" si="7"/>
        <v>0</v>
      </c>
    </row>
    <row r="85" spans="1:18" ht="13" x14ac:dyDescent="0.3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1:18" ht="13" x14ac:dyDescent="0.35">
      <c r="A86" s="130" t="s">
        <v>24</v>
      </c>
      <c r="B86" s="139" t="s">
        <v>25</v>
      </c>
      <c r="C86" s="77"/>
      <c r="D86" s="77"/>
      <c r="E86" s="77"/>
      <c r="F86" s="77"/>
      <c r="G86" s="77"/>
      <c r="H86" s="77"/>
      <c r="I86" s="77"/>
      <c r="J86" s="77"/>
      <c r="K86" s="77"/>
      <c r="L86" s="79"/>
      <c r="M86" s="77"/>
      <c r="N86" s="79"/>
      <c r="O86" s="79"/>
      <c r="P86" s="77"/>
      <c r="Q86" s="79"/>
      <c r="R86" s="77"/>
    </row>
    <row r="87" spans="1:18" ht="13" x14ac:dyDescent="0.35">
      <c r="B87" s="130" t="s">
        <v>117</v>
      </c>
      <c r="C87" s="62"/>
      <c r="D87" s="77"/>
      <c r="E87" s="62"/>
      <c r="F87" s="77"/>
      <c r="G87" s="62"/>
      <c r="H87" s="76"/>
      <c r="I87" s="62"/>
      <c r="J87" s="77"/>
      <c r="K87" s="62"/>
      <c r="L87" s="76"/>
      <c r="M87" s="62"/>
      <c r="N87" s="79"/>
      <c r="O87" s="79"/>
      <c r="P87" s="140">
        <f t="shared" ref="P87:P100" si="8">C87+G87+K87</f>
        <v>0</v>
      </c>
      <c r="Q87" s="79"/>
      <c r="R87" s="140">
        <f t="shared" ref="R87:R100" si="9">E87+I87+M87</f>
        <v>0</v>
      </c>
    </row>
    <row r="88" spans="1:18" ht="13" x14ac:dyDescent="0.35">
      <c r="B88" s="130" t="s">
        <v>707</v>
      </c>
      <c r="C88" s="62"/>
      <c r="D88" s="76"/>
      <c r="E88" s="62"/>
      <c r="F88" s="77"/>
      <c r="G88" s="62"/>
      <c r="H88" s="76"/>
      <c r="I88" s="62"/>
      <c r="J88" s="77"/>
      <c r="K88" s="62"/>
      <c r="L88" s="76"/>
      <c r="M88" s="62"/>
      <c r="N88" s="79"/>
      <c r="O88" s="79"/>
      <c r="P88" s="140">
        <f t="shared" si="8"/>
        <v>0</v>
      </c>
      <c r="Q88" s="76"/>
      <c r="R88" s="140">
        <f t="shared" si="9"/>
        <v>0</v>
      </c>
    </row>
    <row r="89" spans="1:18" ht="13" x14ac:dyDescent="0.35">
      <c r="B89" s="130" t="s">
        <v>708</v>
      </c>
      <c r="C89" s="62"/>
      <c r="D89" s="77"/>
      <c r="E89" s="62"/>
      <c r="F89" s="77"/>
      <c r="G89" s="62"/>
      <c r="H89" s="77"/>
      <c r="I89" s="62"/>
      <c r="J89" s="77"/>
      <c r="K89" s="62"/>
      <c r="L89" s="76"/>
      <c r="M89" s="62"/>
      <c r="N89" s="79"/>
      <c r="O89" s="79"/>
      <c r="P89" s="140">
        <f t="shared" si="8"/>
        <v>0</v>
      </c>
      <c r="Q89" s="79"/>
      <c r="R89" s="140">
        <f t="shared" si="9"/>
        <v>0</v>
      </c>
    </row>
    <row r="90" spans="1:18" ht="13" x14ac:dyDescent="0.35">
      <c r="B90" s="141" t="s">
        <v>709</v>
      </c>
      <c r="C90" s="62"/>
      <c r="D90" s="77"/>
      <c r="E90" s="62"/>
      <c r="F90" s="77"/>
      <c r="G90" s="62"/>
      <c r="H90" s="77"/>
      <c r="I90" s="62"/>
      <c r="J90" s="77"/>
      <c r="K90" s="62"/>
      <c r="L90" s="76"/>
      <c r="M90" s="62"/>
      <c r="N90" s="79"/>
      <c r="O90" s="79"/>
      <c r="P90" s="140">
        <f t="shared" si="8"/>
        <v>0</v>
      </c>
      <c r="Q90" s="79"/>
      <c r="R90" s="140">
        <f t="shared" si="9"/>
        <v>0</v>
      </c>
    </row>
    <row r="91" spans="1:18" ht="13" x14ac:dyDescent="0.35">
      <c r="B91" s="130" t="s">
        <v>710</v>
      </c>
      <c r="C91" s="62"/>
      <c r="D91" s="76"/>
      <c r="E91" s="62"/>
      <c r="F91" s="77"/>
      <c r="G91" s="62"/>
      <c r="H91" s="77"/>
      <c r="I91" s="62"/>
      <c r="J91" s="77"/>
      <c r="K91" s="62"/>
      <c r="L91" s="76"/>
      <c r="M91" s="62"/>
      <c r="N91" s="79"/>
      <c r="O91" s="79"/>
      <c r="P91" s="140">
        <f t="shared" si="8"/>
        <v>0</v>
      </c>
      <c r="Q91" s="79"/>
      <c r="R91" s="140">
        <f t="shared" si="9"/>
        <v>0</v>
      </c>
    </row>
    <row r="92" spans="1:18" ht="13" x14ac:dyDescent="0.35">
      <c r="B92" s="130" t="s">
        <v>711</v>
      </c>
      <c r="C92" s="62"/>
      <c r="D92" s="77"/>
      <c r="E92" s="62"/>
      <c r="F92" s="77"/>
      <c r="G92" s="62"/>
      <c r="H92" s="77"/>
      <c r="I92" s="62"/>
      <c r="J92" s="77"/>
      <c r="K92" s="62"/>
      <c r="L92" s="76"/>
      <c r="M92" s="62"/>
      <c r="N92" s="79"/>
      <c r="O92" s="79"/>
      <c r="P92" s="140">
        <f t="shared" si="8"/>
        <v>0</v>
      </c>
      <c r="Q92" s="79"/>
      <c r="R92" s="140">
        <f t="shared" si="9"/>
        <v>0</v>
      </c>
    </row>
    <row r="93" spans="1:18" ht="13" x14ac:dyDescent="0.35">
      <c r="B93" s="130" t="s">
        <v>712</v>
      </c>
      <c r="C93" s="62"/>
      <c r="D93" s="76"/>
      <c r="E93" s="62"/>
      <c r="F93" s="77"/>
      <c r="G93" s="62"/>
      <c r="H93" s="77"/>
      <c r="I93" s="62"/>
      <c r="J93" s="77"/>
      <c r="K93" s="62"/>
      <c r="L93" s="76"/>
      <c r="M93" s="62"/>
      <c r="N93" s="79"/>
      <c r="O93" s="79"/>
      <c r="P93" s="140">
        <f t="shared" si="8"/>
        <v>0</v>
      </c>
      <c r="Q93" s="76"/>
      <c r="R93" s="140">
        <f t="shared" si="9"/>
        <v>0</v>
      </c>
    </row>
    <row r="94" spans="1:18" ht="13" x14ac:dyDescent="0.35">
      <c r="B94" s="130" t="s">
        <v>713</v>
      </c>
      <c r="C94" s="62"/>
      <c r="D94" s="76"/>
      <c r="E94" s="62"/>
      <c r="F94" s="77"/>
      <c r="G94" s="62"/>
      <c r="H94" s="77"/>
      <c r="I94" s="62"/>
      <c r="J94" s="77"/>
      <c r="K94" s="62"/>
      <c r="L94" s="76"/>
      <c r="M94" s="62"/>
      <c r="N94" s="79"/>
      <c r="O94" s="79"/>
      <c r="P94" s="140">
        <f t="shared" si="8"/>
        <v>0</v>
      </c>
      <c r="Q94" s="76"/>
      <c r="R94" s="140">
        <f t="shared" si="9"/>
        <v>0</v>
      </c>
    </row>
    <row r="95" spans="1:18" ht="13" x14ac:dyDescent="0.35">
      <c r="B95" s="130" t="s">
        <v>714</v>
      </c>
      <c r="C95" s="62"/>
      <c r="D95" s="76"/>
      <c r="E95" s="62"/>
      <c r="F95" s="77"/>
      <c r="G95" s="62"/>
      <c r="H95" s="77"/>
      <c r="I95" s="62"/>
      <c r="J95" s="77"/>
      <c r="K95" s="62"/>
      <c r="L95" s="76"/>
      <c r="M95" s="62"/>
      <c r="N95" s="79"/>
      <c r="O95" s="79"/>
      <c r="P95" s="140">
        <f t="shared" si="8"/>
        <v>0</v>
      </c>
      <c r="Q95" s="76"/>
      <c r="R95" s="140">
        <f t="shared" si="9"/>
        <v>0</v>
      </c>
    </row>
    <row r="96" spans="1:18" ht="13" x14ac:dyDescent="0.35">
      <c r="B96" s="130" t="s">
        <v>715</v>
      </c>
      <c r="C96" s="62"/>
      <c r="D96" s="76"/>
      <c r="E96" s="62"/>
      <c r="F96" s="77"/>
      <c r="G96" s="62"/>
      <c r="H96" s="77"/>
      <c r="I96" s="62"/>
      <c r="J96" s="77"/>
      <c r="K96" s="62"/>
      <c r="L96" s="76"/>
      <c r="M96" s="62"/>
      <c r="N96" s="79"/>
      <c r="O96" s="79"/>
      <c r="P96" s="140">
        <f t="shared" si="8"/>
        <v>0</v>
      </c>
      <c r="Q96" s="76"/>
      <c r="R96" s="140">
        <f t="shared" si="9"/>
        <v>0</v>
      </c>
    </row>
    <row r="97" spans="2:25" ht="13" x14ac:dyDescent="0.35">
      <c r="B97" s="130" t="s">
        <v>716</v>
      </c>
      <c r="C97" s="62"/>
      <c r="D97" s="76"/>
      <c r="E97" s="62"/>
      <c r="F97" s="77"/>
      <c r="G97" s="62"/>
      <c r="H97" s="77"/>
      <c r="I97" s="62"/>
      <c r="J97" s="77"/>
      <c r="K97" s="62"/>
      <c r="L97" s="76"/>
      <c r="M97" s="62"/>
      <c r="N97" s="79"/>
      <c r="O97" s="79"/>
      <c r="P97" s="140">
        <f t="shared" si="8"/>
        <v>0</v>
      </c>
      <c r="Q97" s="76"/>
      <c r="R97" s="140">
        <f t="shared" si="9"/>
        <v>0</v>
      </c>
    </row>
    <row r="98" spans="2:25" ht="13" x14ac:dyDescent="0.35">
      <c r="B98" s="130" t="s">
        <v>717</v>
      </c>
      <c r="C98" s="62"/>
      <c r="D98" s="76"/>
      <c r="E98" s="62"/>
      <c r="F98" s="77"/>
      <c r="G98" s="62"/>
      <c r="H98" s="77"/>
      <c r="I98" s="62"/>
      <c r="J98" s="77"/>
      <c r="K98" s="62"/>
      <c r="L98" s="76"/>
      <c r="M98" s="62"/>
      <c r="N98" s="79"/>
      <c r="O98" s="79"/>
      <c r="P98" s="140">
        <f t="shared" si="8"/>
        <v>0</v>
      </c>
      <c r="Q98" s="76"/>
      <c r="R98" s="140">
        <f t="shared" si="9"/>
        <v>0</v>
      </c>
    </row>
    <row r="99" spans="2:25" ht="13" x14ac:dyDescent="0.35">
      <c r="B99" s="130" t="s">
        <v>718</v>
      </c>
      <c r="C99" s="62"/>
      <c r="D99" s="76"/>
      <c r="E99" s="62"/>
      <c r="F99" s="77"/>
      <c r="G99" s="62"/>
      <c r="H99" s="77"/>
      <c r="I99" s="62"/>
      <c r="J99" s="77"/>
      <c r="K99" s="62"/>
      <c r="L99" s="76"/>
      <c r="M99" s="62"/>
      <c r="N99" s="79"/>
      <c r="O99" s="79"/>
      <c r="P99" s="140">
        <f t="shared" si="8"/>
        <v>0</v>
      </c>
      <c r="Q99" s="76"/>
      <c r="R99" s="140">
        <f t="shared" si="9"/>
        <v>0</v>
      </c>
    </row>
    <row r="100" spans="2:25" ht="13" x14ac:dyDescent="0.35">
      <c r="B100" s="130" t="s">
        <v>54</v>
      </c>
      <c r="C100" s="62"/>
      <c r="D100" s="76"/>
      <c r="E100" s="62"/>
      <c r="F100" s="77"/>
      <c r="G100" s="62"/>
      <c r="H100" s="77"/>
      <c r="I100" s="62"/>
      <c r="J100" s="77"/>
      <c r="K100" s="62"/>
      <c r="L100" s="76"/>
      <c r="M100" s="62"/>
      <c r="N100" s="79"/>
      <c r="O100" s="79"/>
      <c r="P100" s="140">
        <f t="shared" si="8"/>
        <v>0</v>
      </c>
      <c r="Q100" s="76"/>
      <c r="R100" s="140">
        <f t="shared" si="9"/>
        <v>0</v>
      </c>
    </row>
    <row r="101" spans="2:25" ht="13" x14ac:dyDescent="0.35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2:25" ht="13" x14ac:dyDescent="0.35">
      <c r="B102" s="136" t="s">
        <v>27</v>
      </c>
      <c r="C102" s="154">
        <f>SUM(C20:C100)</f>
        <v>0</v>
      </c>
      <c r="D102" s="155"/>
      <c r="E102" s="154">
        <f>SUM(E20:E100)</f>
        <v>0</v>
      </c>
      <c r="F102" s="155"/>
      <c r="G102" s="154">
        <f>SUM(G20:G100)</f>
        <v>0</v>
      </c>
      <c r="H102" s="155"/>
      <c r="I102" s="154">
        <f>SUM(I20:I100)</f>
        <v>0</v>
      </c>
      <c r="J102" s="155"/>
      <c r="K102" s="154">
        <f>SUM(K20:K100)</f>
        <v>0</v>
      </c>
      <c r="L102" s="155"/>
      <c r="M102" s="154">
        <f>SUM(M20:M100)</f>
        <v>0</v>
      </c>
      <c r="N102" s="155"/>
      <c r="O102" s="155"/>
      <c r="P102" s="154">
        <f>SUM(P20:P100)</f>
        <v>0</v>
      </c>
      <c r="Q102" s="155"/>
      <c r="R102" s="154">
        <f>SUM(R20:R100)</f>
        <v>0</v>
      </c>
    </row>
    <row r="103" spans="2:25" x14ac:dyDescent="0.25">
      <c r="V103" s="130" t="s">
        <v>26</v>
      </c>
      <c r="W103" s="130" t="s">
        <v>26</v>
      </c>
      <c r="X103" s="130" t="s">
        <v>26</v>
      </c>
      <c r="Y103" s="130" t="s">
        <v>26</v>
      </c>
    </row>
    <row r="104" spans="2:25" x14ac:dyDescent="0.25">
      <c r="V104" s="130" t="s">
        <v>26</v>
      </c>
      <c r="W104" s="130" t="s">
        <v>26</v>
      </c>
      <c r="X104" s="130" t="s">
        <v>26</v>
      </c>
      <c r="Y104" s="130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ers/decimals only)" sqref="C20:M100">
      <formula1>0</formula1>
      <formula2>9.99999999999999E+35</formula2>
    </dataValidation>
  </dataValidations>
  <printOptions horizontalCentered="1" gridLinesSet="0"/>
  <pageMargins left="0" right="0" top="0.56999999999999995" bottom="1.1499999999999999" header="0.17" footer="0.28000000000000003"/>
  <pageSetup paperSize="9" scale="90" orientation="portrait" r:id="rId1"/>
  <headerFooter alignWithMargins="0"/>
  <ignoredErrors>
    <ignoredError sqref="P2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2:Y103"/>
  <sheetViews>
    <sheetView showGridLines="0" workbookViewId="0">
      <selection activeCell="G22" sqref="G22"/>
    </sheetView>
  </sheetViews>
  <sheetFormatPr defaultColWidth="8.8984375" defaultRowHeight="10.5" x14ac:dyDescent="0.25"/>
  <cols>
    <col min="1" max="1" width="2" style="130" customWidth="1"/>
    <col min="2" max="2" width="16.69921875" style="130" customWidth="1"/>
    <col min="3" max="3" width="5.8984375" style="130" customWidth="1"/>
    <col min="4" max="4" width="1.69921875" style="130" customWidth="1"/>
    <col min="5" max="5" width="9.69921875" style="130" customWidth="1"/>
    <col min="6" max="6" width="1.69921875" style="130" customWidth="1"/>
    <col min="7" max="7" width="5.8984375" style="130" customWidth="1"/>
    <col min="8" max="8" width="1.69921875" style="130" customWidth="1"/>
    <col min="9" max="9" width="9.69921875" style="130" customWidth="1"/>
    <col min="10" max="10" width="1.59765625" style="130" customWidth="1"/>
    <col min="11" max="11" width="5.8984375" style="130" customWidth="1"/>
    <col min="12" max="12" width="1.69921875" style="130" customWidth="1"/>
    <col min="13" max="13" width="9.69921875" style="130" customWidth="1"/>
    <col min="14" max="15" width="1.69921875" style="130" customWidth="1"/>
    <col min="16" max="16" width="5.8984375" style="130" customWidth="1"/>
    <col min="17" max="17" width="1.69921875" style="130" customWidth="1"/>
    <col min="18" max="18" width="10.69921875" style="130" customWidth="1"/>
    <col min="19" max="16384" width="8.8984375" style="130"/>
  </cols>
  <sheetData>
    <row r="2" spans="1:18" x14ac:dyDescent="0.25">
      <c r="A2" s="126"/>
      <c r="B2" s="127"/>
      <c r="C2" s="127"/>
      <c r="D2" s="127"/>
      <c r="E2" s="127"/>
      <c r="F2" s="127"/>
      <c r="G2" s="127"/>
      <c r="H2" s="127"/>
      <c r="I2" s="80"/>
      <c r="J2" s="80"/>
      <c r="K2" s="127"/>
      <c r="L2" s="127"/>
      <c r="M2" s="127"/>
      <c r="N2" s="127"/>
      <c r="O2" s="127"/>
      <c r="P2" s="127"/>
      <c r="Q2" s="127"/>
      <c r="R2" s="126" t="s">
        <v>754</v>
      </c>
    </row>
    <row r="3" spans="1:18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x14ac:dyDescent="0.25">
      <c r="A4" s="131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x14ac:dyDescent="0.25">
      <c r="A5" s="13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x14ac:dyDescent="0.25">
      <c r="A6" s="131" t="s">
        <v>755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x14ac:dyDescent="0.25">
      <c r="A7" s="132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x14ac:dyDescent="0.25">
      <c r="A8" s="131" t="s">
        <v>72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10" spans="1:18" x14ac:dyDescent="0.25">
      <c r="B10" s="133"/>
      <c r="C10" s="77"/>
    </row>
    <row r="11" spans="1:18" x14ac:dyDescent="0.25">
      <c r="D11" s="135"/>
      <c r="F11" s="128"/>
      <c r="H11" s="135"/>
      <c r="I11" s="128"/>
      <c r="J11" s="128"/>
      <c r="L11" s="135"/>
      <c r="M11" s="128"/>
      <c r="N11" s="128"/>
      <c r="O11" s="127"/>
      <c r="P11" s="134" t="s">
        <v>103</v>
      </c>
      <c r="Q11" s="134"/>
      <c r="R11" s="127"/>
    </row>
    <row r="12" spans="1:18" x14ac:dyDescent="0.25">
      <c r="A12" s="136" t="s">
        <v>5</v>
      </c>
      <c r="B12" s="136" t="s">
        <v>64</v>
      </c>
      <c r="C12" s="134"/>
      <c r="D12" s="134"/>
      <c r="E12" s="135" t="s">
        <v>61</v>
      </c>
      <c r="F12" s="127"/>
      <c r="G12" s="134"/>
      <c r="H12" s="134"/>
      <c r="I12" s="135" t="s">
        <v>62</v>
      </c>
      <c r="J12" s="127"/>
      <c r="K12" s="134"/>
      <c r="L12" s="134"/>
      <c r="M12" s="135" t="s">
        <v>63</v>
      </c>
      <c r="N12" s="127"/>
      <c r="O12" s="127"/>
      <c r="P12" s="134" t="s">
        <v>9</v>
      </c>
      <c r="Q12" s="134"/>
      <c r="R12" s="127"/>
    </row>
    <row r="13" spans="1:18" x14ac:dyDescent="0.25">
      <c r="C13" s="134"/>
      <c r="D13" s="134"/>
      <c r="E13" s="127"/>
      <c r="F13" s="127"/>
      <c r="G13" s="134"/>
      <c r="H13" s="134"/>
      <c r="I13" s="127"/>
      <c r="J13" s="127"/>
      <c r="K13" s="134"/>
      <c r="L13" s="134"/>
      <c r="M13" s="127"/>
      <c r="N13" s="127"/>
      <c r="O13" s="127"/>
      <c r="P13" s="134" t="s">
        <v>12</v>
      </c>
      <c r="Q13" s="134"/>
      <c r="R13" s="127"/>
    </row>
    <row r="15" spans="1:18" x14ac:dyDescent="0.25">
      <c r="C15" s="80" t="s">
        <v>13</v>
      </c>
      <c r="D15" s="80"/>
      <c r="E15" s="128" t="s">
        <v>14</v>
      </c>
      <c r="F15" s="80"/>
      <c r="G15" s="80" t="s">
        <v>13</v>
      </c>
      <c r="H15" s="80"/>
      <c r="I15" s="128" t="s">
        <v>14</v>
      </c>
      <c r="J15" s="80"/>
      <c r="K15" s="80" t="s">
        <v>13</v>
      </c>
      <c r="L15" s="80"/>
      <c r="M15" s="128" t="s">
        <v>14</v>
      </c>
      <c r="N15" s="80"/>
      <c r="O15" s="80"/>
      <c r="P15" s="80" t="s">
        <v>13</v>
      </c>
      <c r="Q15" s="80"/>
      <c r="R15" s="128" t="s">
        <v>14</v>
      </c>
    </row>
    <row r="16" spans="1:18" x14ac:dyDescent="0.25">
      <c r="C16" s="80"/>
      <c r="D16" s="80"/>
      <c r="E16" s="137" t="s">
        <v>15</v>
      </c>
      <c r="F16" s="138"/>
      <c r="G16" s="80"/>
      <c r="H16" s="80"/>
      <c r="I16" s="137" t="s">
        <v>15</v>
      </c>
      <c r="J16" s="138"/>
      <c r="K16" s="80"/>
      <c r="L16" s="80"/>
      <c r="M16" s="137" t="s">
        <v>15</v>
      </c>
      <c r="N16" s="138"/>
      <c r="O16" s="138"/>
      <c r="P16" s="80"/>
      <c r="Q16" s="80"/>
      <c r="R16" s="137" t="s">
        <v>15</v>
      </c>
    </row>
    <row r="17" spans="1:18" x14ac:dyDescent="0.25"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ht="13" x14ac:dyDescent="0.35">
      <c r="A18" s="130" t="s">
        <v>16</v>
      </c>
      <c r="B18" s="139" t="s">
        <v>17</v>
      </c>
      <c r="C18" s="77"/>
      <c r="D18" s="77"/>
      <c r="E18" s="77"/>
      <c r="F18" s="77"/>
      <c r="G18" s="77"/>
      <c r="H18" s="77"/>
      <c r="I18" s="77"/>
      <c r="J18" s="77"/>
      <c r="K18" s="77"/>
      <c r="L18" s="79"/>
      <c r="M18" s="77"/>
      <c r="N18" s="79"/>
      <c r="O18" s="79"/>
      <c r="P18" s="77"/>
      <c r="Q18" s="79"/>
      <c r="R18" s="77"/>
    </row>
    <row r="19" spans="1:18" ht="13" x14ac:dyDescent="0.35">
      <c r="B19" s="130" t="s">
        <v>117</v>
      </c>
      <c r="C19" s="62"/>
      <c r="D19" s="76"/>
      <c r="E19" s="62"/>
      <c r="F19" s="77"/>
      <c r="G19" s="62"/>
      <c r="H19" s="76"/>
      <c r="I19" s="62"/>
      <c r="J19" s="77"/>
      <c r="K19" s="62"/>
      <c r="L19" s="76"/>
      <c r="M19" s="62"/>
      <c r="N19" s="75"/>
      <c r="O19" s="75"/>
      <c r="P19" s="62"/>
      <c r="Q19" s="76"/>
      <c r="R19" s="62"/>
    </row>
    <row r="20" spans="1:18" ht="13" x14ac:dyDescent="0.35">
      <c r="B20" s="130" t="s">
        <v>707</v>
      </c>
      <c r="C20" s="62"/>
      <c r="D20" s="76"/>
      <c r="E20" s="62"/>
      <c r="F20" s="77"/>
      <c r="G20" s="62"/>
      <c r="H20" s="76"/>
      <c r="I20" s="62"/>
      <c r="J20" s="77"/>
      <c r="K20" s="62"/>
      <c r="L20" s="76"/>
      <c r="M20" s="62"/>
      <c r="N20" s="75"/>
      <c r="O20" s="75"/>
      <c r="P20" s="62"/>
      <c r="Q20" s="76"/>
      <c r="R20" s="62"/>
    </row>
    <row r="21" spans="1:18" ht="13" x14ac:dyDescent="0.35">
      <c r="B21" s="130" t="s">
        <v>708</v>
      </c>
      <c r="C21" s="62"/>
      <c r="D21" s="76"/>
      <c r="E21" s="62"/>
      <c r="F21" s="77"/>
      <c r="G21" s="62"/>
      <c r="H21" s="76"/>
      <c r="I21" s="62"/>
      <c r="J21" s="77"/>
      <c r="K21" s="62"/>
      <c r="L21" s="76"/>
      <c r="M21" s="62"/>
      <c r="N21" s="75"/>
      <c r="O21" s="75"/>
      <c r="P21" s="62"/>
      <c r="Q21" s="76"/>
      <c r="R21" s="62"/>
    </row>
    <row r="22" spans="1:18" ht="13" x14ac:dyDescent="0.35">
      <c r="B22" s="141" t="s">
        <v>709</v>
      </c>
      <c r="C22" s="62"/>
      <c r="D22" s="76"/>
      <c r="E22" s="62"/>
      <c r="F22" s="77"/>
      <c r="G22" s="62"/>
      <c r="H22" s="76"/>
      <c r="I22" s="62"/>
      <c r="J22" s="77"/>
      <c r="K22" s="62"/>
      <c r="L22" s="76"/>
      <c r="M22" s="62"/>
      <c r="N22" s="75"/>
      <c r="O22" s="75"/>
      <c r="P22" s="62"/>
      <c r="Q22" s="76"/>
      <c r="R22" s="62"/>
    </row>
    <row r="23" spans="1:18" ht="13" x14ac:dyDescent="0.35">
      <c r="B23" s="130" t="s">
        <v>710</v>
      </c>
      <c r="C23" s="62"/>
      <c r="D23" s="76"/>
      <c r="E23" s="62"/>
      <c r="F23" s="77"/>
      <c r="G23" s="62"/>
      <c r="H23" s="76"/>
      <c r="I23" s="62"/>
      <c r="J23" s="77"/>
      <c r="K23" s="62"/>
      <c r="L23" s="76"/>
      <c r="M23" s="62"/>
      <c r="N23" s="75"/>
      <c r="O23" s="75"/>
      <c r="P23" s="62"/>
      <c r="Q23" s="76"/>
      <c r="R23" s="62"/>
    </row>
    <row r="24" spans="1:18" ht="13" x14ac:dyDescent="0.35">
      <c r="B24" s="130" t="s">
        <v>711</v>
      </c>
      <c r="C24" s="62"/>
      <c r="D24" s="76"/>
      <c r="E24" s="62"/>
      <c r="F24" s="77"/>
      <c r="G24" s="62"/>
      <c r="H24" s="76"/>
      <c r="I24" s="62"/>
      <c r="J24" s="77"/>
      <c r="K24" s="62"/>
      <c r="L24" s="76"/>
      <c r="M24" s="62"/>
      <c r="N24" s="75"/>
      <c r="O24" s="75"/>
      <c r="P24" s="62"/>
      <c r="Q24" s="76"/>
      <c r="R24" s="62"/>
    </row>
    <row r="25" spans="1:18" ht="13" x14ac:dyDescent="0.35">
      <c r="B25" s="130" t="s">
        <v>712</v>
      </c>
      <c r="C25" s="62"/>
      <c r="D25" s="76"/>
      <c r="E25" s="62"/>
      <c r="F25" s="77"/>
      <c r="G25" s="62"/>
      <c r="H25" s="76"/>
      <c r="I25" s="62"/>
      <c r="J25" s="77"/>
      <c r="K25" s="62"/>
      <c r="L25" s="76"/>
      <c r="M25" s="62"/>
      <c r="N25" s="75"/>
      <c r="O25" s="75"/>
      <c r="P25" s="62"/>
      <c r="Q25" s="76"/>
      <c r="R25" s="62"/>
    </row>
    <row r="26" spans="1:18" ht="13" x14ac:dyDescent="0.35">
      <c r="B26" s="130" t="s">
        <v>713</v>
      </c>
      <c r="C26" s="62"/>
      <c r="D26" s="76"/>
      <c r="E26" s="62"/>
      <c r="F26" s="77"/>
      <c r="G26" s="62"/>
      <c r="H26" s="76"/>
      <c r="I26" s="62"/>
      <c r="J26" s="77"/>
      <c r="K26" s="62"/>
      <c r="L26" s="76"/>
      <c r="M26" s="62"/>
      <c r="N26" s="75"/>
      <c r="O26" s="75"/>
      <c r="P26" s="62"/>
      <c r="Q26" s="76"/>
      <c r="R26" s="62"/>
    </row>
    <row r="27" spans="1:18" ht="13" x14ac:dyDescent="0.35">
      <c r="B27" s="130" t="s">
        <v>714</v>
      </c>
      <c r="C27" s="62"/>
      <c r="D27" s="76"/>
      <c r="E27" s="62"/>
      <c r="F27" s="77"/>
      <c r="G27" s="62"/>
      <c r="H27" s="76"/>
      <c r="I27" s="62"/>
      <c r="J27" s="77"/>
      <c r="K27" s="62"/>
      <c r="L27" s="76"/>
      <c r="M27" s="62"/>
      <c r="N27" s="75"/>
      <c r="O27" s="75"/>
      <c r="P27" s="62"/>
      <c r="Q27" s="76"/>
      <c r="R27" s="62"/>
    </row>
    <row r="28" spans="1:18" ht="13" x14ac:dyDescent="0.35">
      <c r="B28" s="130" t="s">
        <v>715</v>
      </c>
      <c r="C28" s="62"/>
      <c r="D28" s="76"/>
      <c r="E28" s="62"/>
      <c r="F28" s="77"/>
      <c r="G28" s="62"/>
      <c r="H28" s="76"/>
      <c r="I28" s="62"/>
      <c r="J28" s="77"/>
      <c r="K28" s="62"/>
      <c r="L28" s="76"/>
      <c r="M28" s="62"/>
      <c r="N28" s="75"/>
      <c r="O28" s="75"/>
      <c r="P28" s="62"/>
      <c r="Q28" s="76"/>
      <c r="R28" s="62"/>
    </row>
    <row r="29" spans="1:18" ht="13" x14ac:dyDescent="0.35">
      <c r="B29" s="130" t="s">
        <v>716</v>
      </c>
      <c r="C29" s="62"/>
      <c r="D29" s="76"/>
      <c r="E29" s="62"/>
      <c r="F29" s="77"/>
      <c r="G29" s="62"/>
      <c r="H29" s="76"/>
      <c r="I29" s="62"/>
      <c r="J29" s="77"/>
      <c r="K29" s="62"/>
      <c r="L29" s="76"/>
      <c r="M29" s="62"/>
      <c r="N29" s="75"/>
      <c r="O29" s="75"/>
      <c r="P29" s="62"/>
      <c r="Q29" s="76"/>
      <c r="R29" s="62"/>
    </row>
    <row r="30" spans="1:18" ht="13" x14ac:dyDescent="0.35">
      <c r="B30" s="130" t="s">
        <v>717</v>
      </c>
      <c r="C30" s="62"/>
      <c r="D30" s="76"/>
      <c r="E30" s="62"/>
      <c r="F30" s="77"/>
      <c r="G30" s="62"/>
      <c r="H30" s="76"/>
      <c r="I30" s="62"/>
      <c r="J30" s="77"/>
      <c r="K30" s="62"/>
      <c r="L30" s="76"/>
      <c r="M30" s="62"/>
      <c r="N30" s="75"/>
      <c r="O30" s="75"/>
      <c r="P30" s="62"/>
      <c r="Q30" s="76"/>
      <c r="R30" s="62"/>
    </row>
    <row r="31" spans="1:18" ht="13" x14ac:dyDescent="0.35">
      <c r="B31" s="130" t="s">
        <v>718</v>
      </c>
      <c r="C31" s="62"/>
      <c r="D31" s="76"/>
      <c r="E31" s="62"/>
      <c r="F31" s="77"/>
      <c r="G31" s="62"/>
      <c r="H31" s="76"/>
      <c r="I31" s="62"/>
      <c r="J31" s="77"/>
      <c r="K31" s="62"/>
      <c r="L31" s="76"/>
      <c r="M31" s="62"/>
      <c r="N31" s="75"/>
      <c r="O31" s="75"/>
      <c r="P31" s="62"/>
      <c r="Q31" s="76"/>
      <c r="R31" s="62"/>
    </row>
    <row r="32" spans="1:18" ht="13" x14ac:dyDescent="0.35">
      <c r="B32" s="130" t="s">
        <v>54</v>
      </c>
      <c r="C32" s="62"/>
      <c r="D32" s="76"/>
      <c r="E32" s="62"/>
      <c r="F32" s="77"/>
      <c r="G32" s="62"/>
      <c r="H32" s="76"/>
      <c r="I32" s="62"/>
      <c r="J32" s="77"/>
      <c r="K32" s="62"/>
      <c r="L32" s="76"/>
      <c r="M32" s="62"/>
      <c r="N32" s="75"/>
      <c r="O32" s="75"/>
      <c r="P32" s="62"/>
      <c r="Q32" s="76"/>
      <c r="R32" s="62"/>
    </row>
    <row r="33" spans="1:18" x14ac:dyDescent="0.25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x14ac:dyDescent="0.25">
      <c r="A34" s="130" t="s">
        <v>18</v>
      </c>
      <c r="B34" s="139" t="s">
        <v>19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ht="13" x14ac:dyDescent="0.35">
      <c r="B35" s="139" t="s">
        <v>128</v>
      </c>
      <c r="C35" s="77"/>
      <c r="D35" s="77"/>
      <c r="E35" s="77"/>
      <c r="F35" s="77"/>
      <c r="G35" s="77"/>
      <c r="H35" s="77"/>
      <c r="I35" s="77"/>
      <c r="J35" s="77"/>
      <c r="K35" s="77"/>
      <c r="L35" s="79"/>
      <c r="M35" s="77"/>
      <c r="N35" s="79"/>
      <c r="O35" s="79"/>
      <c r="P35" s="77"/>
      <c r="Q35" s="79"/>
      <c r="R35" s="77"/>
    </row>
    <row r="36" spans="1:18" ht="13" x14ac:dyDescent="0.35">
      <c r="B36" s="130" t="s">
        <v>117</v>
      </c>
      <c r="C36" s="62"/>
      <c r="D36" s="76"/>
      <c r="E36" s="62"/>
      <c r="F36" s="77"/>
      <c r="G36" s="62"/>
      <c r="H36" s="76"/>
      <c r="I36" s="62"/>
      <c r="J36" s="77"/>
      <c r="K36" s="62"/>
      <c r="L36" s="76"/>
      <c r="M36" s="62"/>
      <c r="N36" s="79"/>
      <c r="O36" s="79"/>
      <c r="P36" s="62"/>
      <c r="Q36" s="76"/>
      <c r="R36" s="62"/>
    </row>
    <row r="37" spans="1:18" ht="13" x14ac:dyDescent="0.35">
      <c r="B37" s="130" t="s">
        <v>707</v>
      </c>
      <c r="C37" s="62"/>
      <c r="D37" s="76"/>
      <c r="E37" s="62"/>
      <c r="F37" s="77"/>
      <c r="G37" s="62"/>
      <c r="H37" s="76"/>
      <c r="I37" s="62"/>
      <c r="J37" s="77"/>
      <c r="K37" s="62"/>
      <c r="L37" s="76"/>
      <c r="M37" s="62"/>
      <c r="N37" s="79"/>
      <c r="O37" s="79"/>
      <c r="P37" s="62"/>
      <c r="Q37" s="76"/>
      <c r="R37" s="62"/>
    </row>
    <row r="38" spans="1:18" ht="13" x14ac:dyDescent="0.35">
      <c r="B38" s="130" t="s">
        <v>708</v>
      </c>
      <c r="C38" s="62"/>
      <c r="D38" s="76"/>
      <c r="E38" s="62"/>
      <c r="F38" s="77"/>
      <c r="G38" s="62"/>
      <c r="H38" s="76"/>
      <c r="I38" s="62"/>
      <c r="J38" s="77"/>
      <c r="K38" s="62"/>
      <c r="L38" s="76"/>
      <c r="M38" s="62"/>
      <c r="N38" s="79"/>
      <c r="O38" s="79"/>
      <c r="P38" s="62"/>
      <c r="Q38" s="76"/>
      <c r="R38" s="62"/>
    </row>
    <row r="39" spans="1:18" ht="13" x14ac:dyDescent="0.35">
      <c r="B39" s="141" t="s">
        <v>756</v>
      </c>
      <c r="C39" s="62"/>
      <c r="D39" s="76"/>
      <c r="E39" s="62"/>
      <c r="F39" s="77"/>
      <c r="G39" s="62"/>
      <c r="H39" s="76"/>
      <c r="I39" s="62"/>
      <c r="J39" s="77"/>
      <c r="K39" s="62"/>
      <c r="L39" s="76"/>
      <c r="M39" s="62"/>
      <c r="N39" s="79"/>
      <c r="O39" s="79"/>
      <c r="P39" s="62"/>
      <c r="Q39" s="76"/>
      <c r="R39" s="62"/>
    </row>
    <row r="40" spans="1:18" ht="13" x14ac:dyDescent="0.35">
      <c r="B40" s="130" t="s">
        <v>710</v>
      </c>
      <c r="C40" s="62"/>
      <c r="D40" s="76"/>
      <c r="E40" s="62"/>
      <c r="F40" s="77"/>
      <c r="G40" s="62"/>
      <c r="H40" s="76"/>
      <c r="I40" s="62"/>
      <c r="J40" s="77"/>
      <c r="K40" s="62"/>
      <c r="L40" s="76"/>
      <c r="M40" s="62"/>
      <c r="N40" s="79"/>
      <c r="O40" s="79"/>
      <c r="P40" s="62"/>
      <c r="Q40" s="76"/>
      <c r="R40" s="62"/>
    </row>
    <row r="41" spans="1:18" ht="13" x14ac:dyDescent="0.35">
      <c r="B41" s="130" t="s">
        <v>711</v>
      </c>
      <c r="C41" s="62"/>
      <c r="D41" s="76"/>
      <c r="E41" s="62"/>
      <c r="F41" s="77"/>
      <c r="G41" s="62"/>
      <c r="H41" s="76"/>
      <c r="I41" s="62"/>
      <c r="J41" s="77"/>
      <c r="K41" s="62"/>
      <c r="L41" s="76"/>
      <c r="M41" s="62"/>
      <c r="N41" s="79"/>
      <c r="O41" s="79"/>
      <c r="P41" s="62"/>
      <c r="Q41" s="76"/>
      <c r="R41" s="62"/>
    </row>
    <row r="42" spans="1:18" ht="13" x14ac:dyDescent="0.35">
      <c r="B42" s="130" t="s">
        <v>712</v>
      </c>
      <c r="C42" s="62"/>
      <c r="D42" s="76"/>
      <c r="E42" s="62"/>
      <c r="F42" s="77"/>
      <c r="G42" s="62"/>
      <c r="H42" s="76"/>
      <c r="I42" s="62"/>
      <c r="J42" s="77"/>
      <c r="K42" s="62"/>
      <c r="L42" s="76"/>
      <c r="M42" s="62"/>
      <c r="N42" s="79"/>
      <c r="O42" s="79"/>
      <c r="P42" s="62"/>
      <c r="Q42" s="76"/>
      <c r="R42" s="62"/>
    </row>
    <row r="43" spans="1:18" ht="13" x14ac:dyDescent="0.35">
      <c r="B43" s="130" t="s">
        <v>713</v>
      </c>
      <c r="C43" s="62"/>
      <c r="D43" s="76"/>
      <c r="E43" s="62"/>
      <c r="F43" s="77"/>
      <c r="G43" s="62"/>
      <c r="H43" s="76"/>
      <c r="I43" s="62"/>
      <c r="J43" s="77"/>
      <c r="K43" s="62"/>
      <c r="L43" s="76"/>
      <c r="M43" s="62"/>
      <c r="N43" s="79"/>
      <c r="O43" s="79"/>
      <c r="P43" s="62"/>
      <c r="Q43" s="76"/>
      <c r="R43" s="62"/>
    </row>
    <row r="44" spans="1:18" ht="13" x14ac:dyDescent="0.35">
      <c r="B44" s="130" t="s">
        <v>714</v>
      </c>
      <c r="C44" s="62"/>
      <c r="D44" s="76"/>
      <c r="E44" s="62"/>
      <c r="F44" s="77"/>
      <c r="G44" s="62"/>
      <c r="H44" s="76"/>
      <c r="I44" s="62"/>
      <c r="J44" s="77"/>
      <c r="K44" s="62"/>
      <c r="L44" s="76"/>
      <c r="M44" s="62"/>
      <c r="N44" s="79"/>
      <c r="O44" s="79"/>
      <c r="P44" s="62"/>
      <c r="Q44" s="76"/>
      <c r="R44" s="62"/>
    </row>
    <row r="45" spans="1:18" ht="13" x14ac:dyDescent="0.35">
      <c r="B45" s="130" t="s">
        <v>715</v>
      </c>
      <c r="C45" s="62"/>
      <c r="D45" s="76"/>
      <c r="E45" s="62"/>
      <c r="F45" s="77"/>
      <c r="G45" s="62"/>
      <c r="H45" s="76"/>
      <c r="I45" s="62"/>
      <c r="J45" s="77"/>
      <c r="K45" s="62"/>
      <c r="L45" s="76"/>
      <c r="M45" s="62"/>
      <c r="N45" s="79"/>
      <c r="O45" s="79"/>
      <c r="P45" s="62"/>
      <c r="Q45" s="76"/>
      <c r="R45" s="62"/>
    </row>
    <row r="46" spans="1:18" ht="13" x14ac:dyDescent="0.35">
      <c r="B46" s="130" t="s">
        <v>716</v>
      </c>
      <c r="C46" s="62"/>
      <c r="D46" s="76"/>
      <c r="E46" s="62"/>
      <c r="F46" s="77"/>
      <c r="G46" s="62"/>
      <c r="H46" s="76"/>
      <c r="I46" s="62"/>
      <c r="J46" s="77"/>
      <c r="K46" s="62"/>
      <c r="L46" s="76"/>
      <c r="M46" s="62"/>
      <c r="N46" s="79"/>
      <c r="O46" s="79"/>
      <c r="P46" s="62"/>
      <c r="Q46" s="76"/>
      <c r="R46" s="62"/>
    </row>
    <row r="47" spans="1:18" ht="13" x14ac:dyDescent="0.35">
      <c r="B47" s="130" t="s">
        <v>717</v>
      </c>
      <c r="C47" s="62"/>
      <c r="D47" s="76"/>
      <c r="E47" s="62"/>
      <c r="F47" s="77"/>
      <c r="G47" s="62"/>
      <c r="H47" s="76"/>
      <c r="I47" s="62"/>
      <c r="J47" s="77"/>
      <c r="K47" s="62"/>
      <c r="L47" s="76"/>
      <c r="M47" s="62"/>
      <c r="N47" s="79"/>
      <c r="O47" s="79"/>
      <c r="P47" s="62"/>
      <c r="Q47" s="76"/>
      <c r="R47" s="62"/>
    </row>
    <row r="48" spans="1:18" ht="13" x14ac:dyDescent="0.35">
      <c r="B48" s="130" t="s">
        <v>718</v>
      </c>
      <c r="C48" s="62"/>
      <c r="D48" s="76"/>
      <c r="E48" s="62"/>
      <c r="F48" s="77"/>
      <c r="G48" s="62"/>
      <c r="H48" s="76"/>
      <c r="I48" s="62"/>
      <c r="J48" s="77"/>
      <c r="K48" s="62"/>
      <c r="L48" s="76"/>
      <c r="M48" s="62"/>
      <c r="N48" s="79"/>
      <c r="O48" s="79"/>
      <c r="P48" s="62"/>
      <c r="Q48" s="76"/>
      <c r="R48" s="62"/>
    </row>
    <row r="49" spans="1:18" ht="13" x14ac:dyDescent="0.35">
      <c r="B49" s="130" t="s">
        <v>54</v>
      </c>
      <c r="C49" s="62"/>
      <c r="D49" s="76"/>
      <c r="E49" s="62"/>
      <c r="F49" s="77"/>
      <c r="G49" s="62"/>
      <c r="H49" s="76"/>
      <c r="I49" s="62"/>
      <c r="J49" s="77"/>
      <c r="K49" s="62"/>
      <c r="L49" s="76"/>
      <c r="M49" s="62"/>
      <c r="N49" s="79"/>
      <c r="O49" s="79"/>
      <c r="P49" s="62"/>
      <c r="Q49" s="76"/>
      <c r="R49" s="62"/>
    </row>
    <row r="50" spans="1:18" ht="13" x14ac:dyDescent="0.35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18" ht="13" x14ac:dyDescent="0.35">
      <c r="A51" s="130" t="s">
        <v>20</v>
      </c>
      <c r="B51" s="139" t="s">
        <v>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13" x14ac:dyDescent="0.35">
      <c r="B52" s="139" t="s">
        <v>129</v>
      </c>
      <c r="C52" s="77"/>
      <c r="D52" s="77"/>
      <c r="E52" s="77"/>
      <c r="F52" s="77"/>
      <c r="G52" s="77"/>
      <c r="H52" s="77"/>
      <c r="I52" s="77"/>
      <c r="J52" s="77"/>
      <c r="K52" s="77"/>
      <c r="L52" s="79"/>
      <c r="M52" s="77"/>
      <c r="N52" s="79"/>
      <c r="O52" s="79"/>
      <c r="P52" s="77"/>
      <c r="Q52" s="79"/>
      <c r="R52" s="77"/>
    </row>
    <row r="53" spans="1:18" ht="13" x14ac:dyDescent="0.35">
      <c r="B53" s="130" t="s">
        <v>117</v>
      </c>
      <c r="C53" s="78"/>
      <c r="D53" s="76"/>
      <c r="E53" s="62"/>
      <c r="F53" s="77"/>
      <c r="G53" s="62"/>
      <c r="H53" s="76"/>
      <c r="I53" s="62"/>
      <c r="J53" s="77"/>
      <c r="K53" s="62"/>
      <c r="L53" s="76"/>
      <c r="M53" s="62"/>
      <c r="N53" s="79"/>
      <c r="O53" s="79"/>
      <c r="P53" s="78"/>
      <c r="Q53" s="76"/>
      <c r="R53" s="62"/>
    </row>
    <row r="54" spans="1:18" ht="13" x14ac:dyDescent="0.35">
      <c r="B54" s="130" t="s">
        <v>707</v>
      </c>
      <c r="C54" s="62"/>
      <c r="D54" s="76"/>
      <c r="E54" s="62"/>
      <c r="F54" s="77"/>
      <c r="G54" s="62"/>
      <c r="H54" s="76"/>
      <c r="I54" s="62"/>
      <c r="J54" s="77"/>
      <c r="K54" s="62"/>
      <c r="L54" s="76"/>
      <c r="M54" s="62"/>
      <c r="N54" s="79"/>
      <c r="O54" s="79"/>
      <c r="P54" s="78"/>
      <c r="Q54" s="76"/>
      <c r="R54" s="62"/>
    </row>
    <row r="55" spans="1:18" ht="13" x14ac:dyDescent="0.35">
      <c r="B55" s="130" t="s">
        <v>708</v>
      </c>
      <c r="C55" s="62"/>
      <c r="D55" s="76"/>
      <c r="E55" s="62"/>
      <c r="F55" s="77"/>
      <c r="G55" s="62"/>
      <c r="H55" s="76"/>
      <c r="I55" s="62"/>
      <c r="J55" s="77"/>
      <c r="K55" s="62"/>
      <c r="L55" s="76"/>
      <c r="M55" s="62"/>
      <c r="N55" s="79"/>
      <c r="O55" s="79"/>
      <c r="P55" s="78"/>
      <c r="Q55" s="76"/>
      <c r="R55" s="62"/>
    </row>
    <row r="56" spans="1:18" ht="13" x14ac:dyDescent="0.35">
      <c r="B56" s="141" t="s">
        <v>709</v>
      </c>
      <c r="C56" s="62"/>
      <c r="D56" s="76"/>
      <c r="E56" s="62"/>
      <c r="F56" s="77"/>
      <c r="G56" s="62"/>
      <c r="H56" s="77"/>
      <c r="I56" s="62"/>
      <c r="J56" s="77"/>
      <c r="K56" s="62"/>
      <c r="L56" s="76"/>
      <c r="M56" s="62"/>
      <c r="N56" s="79"/>
      <c r="O56" s="79"/>
      <c r="P56" s="78"/>
      <c r="Q56" s="79"/>
      <c r="R56" s="62"/>
    </row>
    <row r="57" spans="1:18" ht="13" x14ac:dyDescent="0.35">
      <c r="B57" s="130" t="s">
        <v>710</v>
      </c>
      <c r="C57" s="62"/>
      <c r="D57" s="77"/>
      <c r="E57" s="62"/>
      <c r="F57" s="77"/>
      <c r="G57" s="62"/>
      <c r="H57" s="77"/>
      <c r="I57" s="62"/>
      <c r="J57" s="77"/>
      <c r="K57" s="62"/>
      <c r="L57" s="76"/>
      <c r="M57" s="62"/>
      <c r="N57" s="79"/>
      <c r="O57" s="79"/>
      <c r="P57" s="78"/>
      <c r="Q57" s="79"/>
      <c r="R57" s="62"/>
    </row>
    <row r="58" spans="1:18" ht="13" x14ac:dyDescent="0.35">
      <c r="B58" s="130" t="s">
        <v>711</v>
      </c>
      <c r="C58" s="62"/>
      <c r="D58" s="77"/>
      <c r="E58" s="62"/>
      <c r="F58" s="77"/>
      <c r="G58" s="62"/>
      <c r="H58" s="77"/>
      <c r="I58" s="62"/>
      <c r="J58" s="77"/>
      <c r="K58" s="62"/>
      <c r="L58" s="76"/>
      <c r="M58" s="62"/>
      <c r="N58" s="79"/>
      <c r="O58" s="79"/>
      <c r="P58" s="78"/>
      <c r="Q58" s="79"/>
      <c r="R58" s="62"/>
    </row>
    <row r="59" spans="1:18" ht="13" x14ac:dyDescent="0.35">
      <c r="B59" s="130" t="s">
        <v>712</v>
      </c>
      <c r="C59" s="62"/>
      <c r="D59" s="76"/>
      <c r="E59" s="62"/>
      <c r="F59" s="77"/>
      <c r="G59" s="62"/>
      <c r="H59" s="77"/>
      <c r="I59" s="62"/>
      <c r="J59" s="77"/>
      <c r="K59" s="62"/>
      <c r="L59" s="76"/>
      <c r="M59" s="62"/>
      <c r="N59" s="79"/>
      <c r="O59" s="79"/>
      <c r="P59" s="78"/>
      <c r="Q59" s="79"/>
      <c r="R59" s="62"/>
    </row>
    <row r="60" spans="1:18" ht="13" x14ac:dyDescent="0.35">
      <c r="B60" s="130" t="s">
        <v>713</v>
      </c>
      <c r="C60" s="62"/>
      <c r="D60" s="77"/>
      <c r="E60" s="62"/>
      <c r="F60" s="77"/>
      <c r="G60" s="62"/>
      <c r="H60" s="77"/>
      <c r="I60" s="62"/>
      <c r="J60" s="77"/>
      <c r="K60" s="62"/>
      <c r="L60" s="76"/>
      <c r="M60" s="62"/>
      <c r="N60" s="79"/>
      <c r="O60" s="79"/>
      <c r="P60" s="78"/>
      <c r="Q60" s="79"/>
      <c r="R60" s="62"/>
    </row>
    <row r="61" spans="1:18" ht="13" x14ac:dyDescent="0.35">
      <c r="B61" s="130" t="s">
        <v>714</v>
      </c>
      <c r="C61" s="62"/>
      <c r="D61" s="76"/>
      <c r="E61" s="62"/>
      <c r="F61" s="77"/>
      <c r="G61" s="62"/>
      <c r="H61" s="76"/>
      <c r="I61" s="62"/>
      <c r="J61" s="77"/>
      <c r="K61" s="62"/>
      <c r="L61" s="76"/>
      <c r="M61" s="62"/>
      <c r="N61" s="79"/>
      <c r="O61" s="79"/>
      <c r="P61" s="78"/>
      <c r="Q61" s="79"/>
      <c r="R61" s="62"/>
    </row>
    <row r="62" spans="1:18" ht="13" x14ac:dyDescent="0.35">
      <c r="B62" s="130" t="s">
        <v>715</v>
      </c>
      <c r="C62" s="62"/>
      <c r="D62" s="76"/>
      <c r="E62" s="62"/>
      <c r="F62" s="77"/>
      <c r="G62" s="62"/>
      <c r="H62" s="76"/>
      <c r="I62" s="62"/>
      <c r="J62" s="77"/>
      <c r="K62" s="62"/>
      <c r="L62" s="76"/>
      <c r="M62" s="62"/>
      <c r="N62" s="79"/>
      <c r="O62" s="79"/>
      <c r="P62" s="78"/>
      <c r="Q62" s="79"/>
      <c r="R62" s="62"/>
    </row>
    <row r="63" spans="1:18" ht="13" x14ac:dyDescent="0.35">
      <c r="B63" s="130" t="s">
        <v>716</v>
      </c>
      <c r="C63" s="62"/>
      <c r="D63" s="76"/>
      <c r="E63" s="62"/>
      <c r="F63" s="77"/>
      <c r="G63" s="62"/>
      <c r="H63" s="76"/>
      <c r="I63" s="62"/>
      <c r="J63" s="77"/>
      <c r="K63" s="62"/>
      <c r="L63" s="76"/>
      <c r="M63" s="62"/>
      <c r="N63" s="79"/>
      <c r="O63" s="79"/>
      <c r="P63" s="78"/>
      <c r="Q63" s="79"/>
      <c r="R63" s="62"/>
    </row>
    <row r="64" spans="1:18" ht="13" x14ac:dyDescent="0.35">
      <c r="B64" s="130" t="s">
        <v>717</v>
      </c>
      <c r="C64" s="62"/>
      <c r="D64" s="76"/>
      <c r="E64" s="62"/>
      <c r="F64" s="77"/>
      <c r="G64" s="62"/>
      <c r="H64" s="76"/>
      <c r="I64" s="62"/>
      <c r="J64" s="77"/>
      <c r="K64" s="62"/>
      <c r="L64" s="76"/>
      <c r="M64" s="62"/>
      <c r="N64" s="79"/>
      <c r="O64" s="79"/>
      <c r="P64" s="78"/>
      <c r="Q64" s="79"/>
      <c r="R64" s="62"/>
    </row>
    <row r="65" spans="1:18" ht="13" x14ac:dyDescent="0.35">
      <c r="B65" s="130" t="s">
        <v>718</v>
      </c>
      <c r="C65" s="62"/>
      <c r="D65" s="76"/>
      <c r="E65" s="62"/>
      <c r="F65" s="77"/>
      <c r="G65" s="62"/>
      <c r="H65" s="76"/>
      <c r="I65" s="62"/>
      <c r="J65" s="77"/>
      <c r="K65" s="62"/>
      <c r="L65" s="76"/>
      <c r="M65" s="62"/>
      <c r="N65" s="79"/>
      <c r="O65" s="79"/>
      <c r="P65" s="78"/>
      <c r="Q65" s="79"/>
      <c r="R65" s="62"/>
    </row>
    <row r="66" spans="1:18" ht="13" x14ac:dyDescent="0.35">
      <c r="B66" s="130" t="s">
        <v>54</v>
      </c>
      <c r="C66" s="62"/>
      <c r="D66" s="76"/>
      <c r="E66" s="62"/>
      <c r="F66" s="77"/>
      <c r="G66" s="62"/>
      <c r="H66" s="76"/>
      <c r="I66" s="62"/>
      <c r="J66" s="77"/>
      <c r="K66" s="62"/>
      <c r="L66" s="76"/>
      <c r="M66" s="62"/>
      <c r="N66" s="79"/>
      <c r="O66" s="79"/>
      <c r="P66" s="78"/>
      <c r="Q66" s="79"/>
      <c r="R66" s="62"/>
    </row>
    <row r="67" spans="1:18" x14ac:dyDescent="0.25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1:18" x14ac:dyDescent="0.25">
      <c r="A68" s="130" t="s">
        <v>22</v>
      </c>
      <c r="B68" s="139" t="s">
        <v>23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18" ht="13" x14ac:dyDescent="0.35">
      <c r="B69" s="139" t="s">
        <v>129</v>
      </c>
      <c r="C69" s="77"/>
      <c r="D69" s="77"/>
      <c r="E69" s="77"/>
      <c r="F69" s="77"/>
      <c r="G69" s="77"/>
      <c r="H69" s="77"/>
      <c r="I69" s="77"/>
      <c r="J69" s="77"/>
      <c r="K69" s="77"/>
      <c r="L69" s="79"/>
      <c r="M69" s="77"/>
      <c r="N69" s="79"/>
      <c r="O69" s="79"/>
      <c r="P69" s="77"/>
      <c r="Q69" s="79"/>
      <c r="R69" s="77"/>
    </row>
    <row r="70" spans="1:18" ht="13" x14ac:dyDescent="0.35">
      <c r="B70" s="130" t="s">
        <v>117</v>
      </c>
      <c r="C70" s="62"/>
      <c r="D70" s="76"/>
      <c r="E70" s="62"/>
      <c r="F70" s="77"/>
      <c r="G70" s="62"/>
      <c r="H70" s="76"/>
      <c r="I70" s="62"/>
      <c r="J70" s="77"/>
      <c r="K70" s="62"/>
      <c r="L70" s="76"/>
      <c r="M70" s="62"/>
      <c r="N70" s="79"/>
      <c r="O70" s="79"/>
      <c r="P70" s="62"/>
      <c r="Q70" s="76"/>
      <c r="R70" s="62"/>
    </row>
    <row r="71" spans="1:18" ht="13" x14ac:dyDescent="0.35">
      <c r="B71" s="130" t="s">
        <v>707</v>
      </c>
      <c r="C71" s="62"/>
      <c r="D71" s="76"/>
      <c r="E71" s="62"/>
      <c r="F71" s="77"/>
      <c r="G71" s="62"/>
      <c r="H71" s="76"/>
      <c r="I71" s="62"/>
      <c r="J71" s="77"/>
      <c r="K71" s="62"/>
      <c r="L71" s="76"/>
      <c r="M71" s="62"/>
      <c r="N71" s="79"/>
      <c r="O71" s="79"/>
      <c r="P71" s="62"/>
      <c r="Q71" s="76"/>
      <c r="R71" s="62"/>
    </row>
    <row r="72" spans="1:18" ht="13" x14ac:dyDescent="0.35">
      <c r="B72" s="130" t="s">
        <v>708</v>
      </c>
      <c r="C72" s="62"/>
      <c r="D72" s="76"/>
      <c r="E72" s="62"/>
      <c r="F72" s="77"/>
      <c r="G72" s="62"/>
      <c r="H72" s="76"/>
      <c r="I72" s="62"/>
      <c r="J72" s="77"/>
      <c r="K72" s="62"/>
      <c r="L72" s="76"/>
      <c r="M72" s="62"/>
      <c r="N72" s="79"/>
      <c r="O72" s="79"/>
      <c r="P72" s="62"/>
      <c r="Q72" s="76"/>
      <c r="R72" s="62"/>
    </row>
    <row r="73" spans="1:18" ht="13" x14ac:dyDescent="0.35">
      <c r="B73" s="141" t="s">
        <v>709</v>
      </c>
      <c r="C73" s="62"/>
      <c r="D73" s="76"/>
      <c r="E73" s="62"/>
      <c r="F73" s="77"/>
      <c r="G73" s="62"/>
      <c r="H73" s="76"/>
      <c r="I73" s="62"/>
      <c r="J73" s="77"/>
      <c r="K73" s="62"/>
      <c r="L73" s="76"/>
      <c r="M73" s="62"/>
      <c r="N73" s="79"/>
      <c r="O73" s="79"/>
      <c r="P73" s="62"/>
      <c r="Q73" s="76"/>
      <c r="R73" s="62"/>
    </row>
    <row r="74" spans="1:18" ht="13" x14ac:dyDescent="0.35">
      <c r="B74" s="130" t="s">
        <v>710</v>
      </c>
      <c r="C74" s="62"/>
      <c r="D74" s="76"/>
      <c r="E74" s="62"/>
      <c r="F74" s="77"/>
      <c r="G74" s="62"/>
      <c r="H74" s="77"/>
      <c r="I74" s="62"/>
      <c r="J74" s="77"/>
      <c r="K74" s="62"/>
      <c r="L74" s="76"/>
      <c r="M74" s="62"/>
      <c r="N74" s="79"/>
      <c r="O74" s="79"/>
      <c r="P74" s="62"/>
      <c r="Q74" s="79"/>
      <c r="R74" s="62"/>
    </row>
    <row r="75" spans="1:18" ht="13" x14ac:dyDescent="0.35">
      <c r="B75" s="130" t="s">
        <v>711</v>
      </c>
      <c r="C75" s="62"/>
      <c r="D75" s="77"/>
      <c r="E75" s="62"/>
      <c r="F75" s="77"/>
      <c r="G75" s="62"/>
      <c r="H75" s="76"/>
      <c r="I75" s="62"/>
      <c r="J75" s="77"/>
      <c r="K75" s="62"/>
      <c r="L75" s="76"/>
      <c r="M75" s="62"/>
      <c r="N75" s="79"/>
      <c r="O75" s="79"/>
      <c r="P75" s="62"/>
      <c r="Q75" s="79"/>
      <c r="R75" s="62"/>
    </row>
    <row r="76" spans="1:18" ht="13" x14ac:dyDescent="0.35">
      <c r="B76" s="130" t="s">
        <v>712</v>
      </c>
      <c r="C76" s="62"/>
      <c r="D76" s="76"/>
      <c r="E76" s="62"/>
      <c r="F76" s="77"/>
      <c r="G76" s="62"/>
      <c r="H76" s="76"/>
      <c r="I76" s="62"/>
      <c r="J76" s="77"/>
      <c r="K76" s="62"/>
      <c r="L76" s="76"/>
      <c r="M76" s="62"/>
      <c r="N76" s="79"/>
      <c r="O76" s="79"/>
      <c r="P76" s="62"/>
      <c r="Q76" s="79"/>
      <c r="R76" s="62"/>
    </row>
    <row r="77" spans="1:18" ht="13" x14ac:dyDescent="0.35">
      <c r="B77" s="130" t="s">
        <v>713</v>
      </c>
      <c r="C77" s="62"/>
      <c r="D77" s="77"/>
      <c r="E77" s="62"/>
      <c r="F77" s="77"/>
      <c r="G77" s="62"/>
      <c r="H77" s="77"/>
      <c r="I77" s="62"/>
      <c r="J77" s="77"/>
      <c r="K77" s="62"/>
      <c r="L77" s="76"/>
      <c r="M77" s="62"/>
      <c r="N77" s="79"/>
      <c r="O77" s="79"/>
      <c r="P77" s="62"/>
      <c r="Q77" s="79"/>
      <c r="R77" s="62"/>
    </row>
    <row r="78" spans="1:18" ht="13" x14ac:dyDescent="0.35">
      <c r="B78" s="130" t="s">
        <v>714</v>
      </c>
      <c r="C78" s="62"/>
      <c r="D78" s="76"/>
      <c r="E78" s="62"/>
      <c r="F78" s="77"/>
      <c r="G78" s="62"/>
      <c r="H78" s="76"/>
      <c r="I78" s="62"/>
      <c r="J78" s="77"/>
      <c r="K78" s="62"/>
      <c r="L78" s="76"/>
      <c r="M78" s="62"/>
      <c r="N78" s="79"/>
      <c r="O78" s="79"/>
      <c r="P78" s="62"/>
      <c r="Q78" s="76"/>
      <c r="R78" s="62"/>
    </row>
    <row r="79" spans="1:18" ht="13" x14ac:dyDescent="0.35">
      <c r="B79" s="130" t="s">
        <v>715</v>
      </c>
      <c r="C79" s="62"/>
      <c r="D79" s="76"/>
      <c r="E79" s="62"/>
      <c r="F79" s="77"/>
      <c r="G79" s="62"/>
      <c r="H79" s="76"/>
      <c r="I79" s="62"/>
      <c r="J79" s="77"/>
      <c r="K79" s="62"/>
      <c r="L79" s="76"/>
      <c r="M79" s="62"/>
      <c r="N79" s="79"/>
      <c r="O79" s="79"/>
      <c r="P79" s="62"/>
      <c r="Q79" s="76"/>
      <c r="R79" s="62"/>
    </row>
    <row r="80" spans="1:18" ht="13" x14ac:dyDescent="0.35">
      <c r="B80" s="130" t="s">
        <v>716</v>
      </c>
      <c r="C80" s="62"/>
      <c r="D80" s="76"/>
      <c r="E80" s="62"/>
      <c r="F80" s="77"/>
      <c r="G80" s="62"/>
      <c r="H80" s="76"/>
      <c r="I80" s="62"/>
      <c r="J80" s="77"/>
      <c r="K80" s="62"/>
      <c r="L80" s="76"/>
      <c r="M80" s="62"/>
      <c r="N80" s="79"/>
      <c r="O80" s="79"/>
      <c r="P80" s="62"/>
      <c r="Q80" s="76"/>
      <c r="R80" s="62"/>
    </row>
    <row r="81" spans="1:18" ht="13" x14ac:dyDescent="0.35">
      <c r="B81" s="130" t="s">
        <v>717</v>
      </c>
      <c r="C81" s="62"/>
      <c r="D81" s="76"/>
      <c r="E81" s="62"/>
      <c r="F81" s="77"/>
      <c r="G81" s="62"/>
      <c r="H81" s="76"/>
      <c r="I81" s="62"/>
      <c r="J81" s="77"/>
      <c r="K81" s="62"/>
      <c r="L81" s="76"/>
      <c r="M81" s="62"/>
      <c r="N81" s="79"/>
      <c r="O81" s="79"/>
      <c r="P81" s="62"/>
      <c r="Q81" s="76"/>
      <c r="R81" s="62"/>
    </row>
    <row r="82" spans="1:18" ht="13" x14ac:dyDescent="0.35">
      <c r="B82" s="130" t="s">
        <v>718</v>
      </c>
      <c r="C82" s="62"/>
      <c r="D82" s="76"/>
      <c r="E82" s="62"/>
      <c r="F82" s="77"/>
      <c r="G82" s="62"/>
      <c r="H82" s="76"/>
      <c r="I82" s="62"/>
      <c r="J82" s="77"/>
      <c r="K82" s="62"/>
      <c r="L82" s="76"/>
      <c r="M82" s="62"/>
      <c r="N82" s="79"/>
      <c r="O82" s="79"/>
      <c r="P82" s="62"/>
      <c r="Q82" s="76"/>
      <c r="R82" s="62"/>
    </row>
    <row r="83" spans="1:18" ht="13" x14ac:dyDescent="0.35">
      <c r="B83" s="130" t="s">
        <v>54</v>
      </c>
      <c r="C83" s="62"/>
      <c r="D83" s="76"/>
      <c r="E83" s="62"/>
      <c r="F83" s="77"/>
      <c r="G83" s="62"/>
      <c r="H83" s="76"/>
      <c r="I83" s="62"/>
      <c r="J83" s="77"/>
      <c r="K83" s="62"/>
      <c r="L83" s="76"/>
      <c r="M83" s="62"/>
      <c r="N83" s="79"/>
      <c r="O83" s="79"/>
      <c r="P83" s="62"/>
      <c r="Q83" s="76"/>
      <c r="R83" s="62"/>
    </row>
    <row r="84" spans="1:18" ht="13" x14ac:dyDescent="0.3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1:18" ht="13" x14ac:dyDescent="0.35">
      <c r="A85" s="130" t="s">
        <v>24</v>
      </c>
      <c r="B85" s="139" t="s">
        <v>25</v>
      </c>
      <c r="C85" s="77"/>
      <c r="D85" s="77"/>
      <c r="E85" s="77"/>
      <c r="F85" s="77"/>
      <c r="G85" s="77"/>
      <c r="H85" s="77"/>
      <c r="I85" s="77"/>
      <c r="J85" s="77"/>
      <c r="K85" s="77"/>
      <c r="L85" s="79"/>
      <c r="M85" s="77"/>
      <c r="N85" s="79"/>
      <c r="O85" s="79"/>
      <c r="P85" s="77"/>
      <c r="Q85" s="79"/>
      <c r="R85" s="77"/>
    </row>
    <row r="86" spans="1:18" ht="13" x14ac:dyDescent="0.35">
      <c r="B86" s="130" t="s">
        <v>117</v>
      </c>
      <c r="C86" s="62"/>
      <c r="D86" s="77"/>
      <c r="E86" s="62"/>
      <c r="F86" s="77"/>
      <c r="G86" s="62"/>
      <c r="H86" s="76"/>
      <c r="I86" s="62"/>
      <c r="J86" s="77"/>
      <c r="K86" s="62"/>
      <c r="L86" s="76"/>
      <c r="M86" s="62"/>
      <c r="N86" s="79"/>
      <c r="O86" s="79"/>
      <c r="P86" s="62"/>
      <c r="Q86" s="79"/>
      <c r="R86" s="62"/>
    </row>
    <row r="87" spans="1:18" ht="13" x14ac:dyDescent="0.35">
      <c r="B87" s="130" t="s">
        <v>757</v>
      </c>
      <c r="C87" s="62"/>
      <c r="D87" s="76"/>
      <c r="E87" s="62"/>
      <c r="F87" s="77"/>
      <c r="G87" s="62"/>
      <c r="H87" s="76"/>
      <c r="I87" s="62"/>
      <c r="J87" s="77"/>
      <c r="K87" s="62"/>
      <c r="L87" s="76"/>
      <c r="M87" s="62"/>
      <c r="N87" s="79"/>
      <c r="O87" s="79"/>
      <c r="P87" s="62"/>
      <c r="Q87" s="79"/>
      <c r="R87" s="62"/>
    </row>
    <row r="88" spans="1:18" ht="13" x14ac:dyDescent="0.35">
      <c r="B88" s="130" t="s">
        <v>758</v>
      </c>
      <c r="C88" s="62"/>
      <c r="D88" s="77"/>
      <c r="E88" s="62"/>
      <c r="F88" s="77"/>
      <c r="G88" s="62"/>
      <c r="H88" s="77"/>
      <c r="I88" s="62"/>
      <c r="J88" s="77"/>
      <c r="K88" s="62"/>
      <c r="L88" s="76"/>
      <c r="M88" s="62"/>
      <c r="N88" s="79"/>
      <c r="O88" s="79"/>
      <c r="P88" s="62"/>
      <c r="Q88" s="79"/>
      <c r="R88" s="62"/>
    </row>
    <row r="89" spans="1:18" ht="13" x14ac:dyDescent="0.35">
      <c r="B89" s="141" t="s">
        <v>756</v>
      </c>
      <c r="C89" s="62"/>
      <c r="D89" s="77"/>
      <c r="E89" s="62"/>
      <c r="F89" s="77"/>
      <c r="G89" s="62"/>
      <c r="H89" s="77"/>
      <c r="I89" s="62"/>
      <c r="J89" s="77"/>
      <c r="K89" s="62"/>
      <c r="L89" s="76"/>
      <c r="M89" s="62"/>
      <c r="N89" s="79"/>
      <c r="O89" s="79"/>
      <c r="P89" s="62"/>
      <c r="Q89" s="79"/>
      <c r="R89" s="62"/>
    </row>
    <row r="90" spans="1:18" ht="13" x14ac:dyDescent="0.35">
      <c r="B90" s="130" t="s">
        <v>710</v>
      </c>
      <c r="C90" s="62"/>
      <c r="D90" s="76"/>
      <c r="E90" s="62"/>
      <c r="F90" s="77"/>
      <c r="G90" s="62"/>
      <c r="H90" s="77"/>
      <c r="I90" s="62"/>
      <c r="J90" s="77"/>
      <c r="K90" s="62"/>
      <c r="L90" s="76"/>
      <c r="M90" s="62"/>
      <c r="N90" s="79"/>
      <c r="O90" s="79"/>
      <c r="P90" s="62"/>
      <c r="Q90" s="79"/>
      <c r="R90" s="62"/>
    </row>
    <row r="91" spans="1:18" ht="13" x14ac:dyDescent="0.35">
      <c r="B91" s="130" t="s">
        <v>711</v>
      </c>
      <c r="C91" s="62"/>
      <c r="D91" s="77"/>
      <c r="E91" s="62"/>
      <c r="F91" s="77"/>
      <c r="G91" s="62"/>
      <c r="H91" s="77"/>
      <c r="I91" s="62"/>
      <c r="J91" s="77"/>
      <c r="K91" s="62"/>
      <c r="L91" s="76"/>
      <c r="M91" s="62"/>
      <c r="N91" s="79"/>
      <c r="O91" s="79"/>
      <c r="P91" s="62"/>
      <c r="Q91" s="79"/>
      <c r="R91" s="62"/>
    </row>
    <row r="92" spans="1:18" ht="13" x14ac:dyDescent="0.35">
      <c r="B92" s="130" t="s">
        <v>712</v>
      </c>
      <c r="C92" s="62"/>
      <c r="D92" s="77"/>
      <c r="E92" s="62"/>
      <c r="F92" s="77"/>
      <c r="G92" s="62"/>
      <c r="H92" s="77"/>
      <c r="I92" s="62"/>
      <c r="J92" s="77"/>
      <c r="K92" s="62"/>
      <c r="L92" s="76"/>
      <c r="M92" s="62"/>
      <c r="N92" s="79"/>
      <c r="O92" s="79"/>
      <c r="P92" s="62"/>
      <c r="Q92" s="79"/>
      <c r="R92" s="62"/>
    </row>
    <row r="93" spans="1:18" ht="13" x14ac:dyDescent="0.35">
      <c r="B93" s="130" t="s">
        <v>713</v>
      </c>
      <c r="C93" s="62"/>
      <c r="D93" s="77"/>
      <c r="E93" s="62"/>
      <c r="F93" s="77"/>
      <c r="G93" s="62"/>
      <c r="H93" s="77"/>
      <c r="I93" s="62"/>
      <c r="J93" s="77"/>
      <c r="K93" s="62"/>
      <c r="L93" s="76"/>
      <c r="M93" s="62"/>
      <c r="N93" s="79"/>
      <c r="O93" s="79"/>
      <c r="P93" s="62"/>
      <c r="Q93" s="79"/>
      <c r="R93" s="62"/>
    </row>
    <row r="94" spans="1:18" ht="13" x14ac:dyDescent="0.35">
      <c r="B94" s="130" t="s">
        <v>714</v>
      </c>
      <c r="C94" s="62"/>
      <c r="D94" s="77"/>
      <c r="E94" s="62"/>
      <c r="F94" s="77"/>
      <c r="G94" s="62"/>
      <c r="H94" s="76"/>
      <c r="I94" s="62"/>
      <c r="J94" s="77"/>
      <c r="K94" s="62"/>
      <c r="L94" s="76"/>
      <c r="M94" s="62"/>
      <c r="N94" s="79"/>
      <c r="O94" s="79"/>
      <c r="P94" s="62"/>
      <c r="Q94" s="79"/>
      <c r="R94" s="62"/>
    </row>
    <row r="95" spans="1:18" ht="13" x14ac:dyDescent="0.35">
      <c r="B95" s="130" t="s">
        <v>715</v>
      </c>
      <c r="C95" s="62"/>
      <c r="D95" s="77"/>
      <c r="E95" s="62"/>
      <c r="F95" s="77"/>
      <c r="G95" s="62"/>
      <c r="H95" s="76"/>
      <c r="I95" s="62"/>
      <c r="J95" s="77"/>
      <c r="K95" s="62"/>
      <c r="L95" s="76"/>
      <c r="M95" s="62"/>
      <c r="N95" s="79"/>
      <c r="O95" s="79"/>
      <c r="P95" s="62"/>
      <c r="Q95" s="79"/>
      <c r="R95" s="62"/>
    </row>
    <row r="96" spans="1:18" ht="13" x14ac:dyDescent="0.35">
      <c r="B96" s="130" t="s">
        <v>716</v>
      </c>
      <c r="C96" s="62"/>
      <c r="D96" s="76"/>
      <c r="E96" s="62"/>
      <c r="F96" s="77"/>
      <c r="G96" s="62"/>
      <c r="H96" s="76"/>
      <c r="I96" s="62"/>
      <c r="J96" s="77"/>
      <c r="K96" s="62"/>
      <c r="L96" s="76"/>
      <c r="M96" s="62"/>
      <c r="N96" s="79"/>
      <c r="O96" s="79"/>
      <c r="P96" s="62"/>
      <c r="Q96" s="79"/>
      <c r="R96" s="62"/>
    </row>
    <row r="97" spans="2:25" ht="13" x14ac:dyDescent="0.35">
      <c r="B97" s="130" t="s">
        <v>717</v>
      </c>
      <c r="C97" s="62"/>
      <c r="D97" s="76"/>
      <c r="E97" s="62"/>
      <c r="F97" s="77"/>
      <c r="G97" s="62"/>
      <c r="H97" s="76"/>
      <c r="I97" s="62"/>
      <c r="J97" s="77"/>
      <c r="K97" s="62"/>
      <c r="L97" s="76"/>
      <c r="M97" s="62"/>
      <c r="N97" s="79"/>
      <c r="O97" s="79"/>
      <c r="P97" s="62"/>
      <c r="Q97" s="79"/>
      <c r="R97" s="62"/>
    </row>
    <row r="98" spans="2:25" ht="13" x14ac:dyDescent="0.35">
      <c r="B98" s="130" t="s">
        <v>718</v>
      </c>
      <c r="C98" s="62"/>
      <c r="D98" s="76"/>
      <c r="E98" s="62"/>
      <c r="F98" s="77"/>
      <c r="G98" s="62"/>
      <c r="H98" s="76"/>
      <c r="I98" s="62"/>
      <c r="J98" s="77"/>
      <c r="K98" s="62"/>
      <c r="L98" s="76"/>
      <c r="M98" s="62"/>
      <c r="N98" s="79"/>
      <c r="O98" s="79"/>
      <c r="P98" s="62"/>
      <c r="Q98" s="79"/>
      <c r="R98" s="62"/>
    </row>
    <row r="99" spans="2:25" ht="13" x14ac:dyDescent="0.35">
      <c r="B99" s="130" t="s">
        <v>54</v>
      </c>
      <c r="C99" s="62"/>
      <c r="D99" s="76"/>
      <c r="E99" s="62"/>
      <c r="F99" s="77"/>
      <c r="G99" s="62"/>
      <c r="H99" s="76"/>
      <c r="I99" s="62"/>
      <c r="J99" s="77"/>
      <c r="K99" s="62"/>
      <c r="L99" s="76"/>
      <c r="M99" s="62"/>
      <c r="N99" s="79"/>
      <c r="O99" s="79"/>
      <c r="P99" s="62"/>
      <c r="Q99" s="76"/>
      <c r="R99" s="62"/>
    </row>
    <row r="100" spans="2:25" ht="13" x14ac:dyDescent="0.35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2:25" ht="13" x14ac:dyDescent="0.35">
      <c r="B101" s="136" t="s">
        <v>27</v>
      </c>
      <c r="C101" s="154">
        <f>SUM(C19:C99)</f>
        <v>0</v>
      </c>
      <c r="D101" s="155"/>
      <c r="E101" s="154">
        <f>SUM(E19:E99)</f>
        <v>0</v>
      </c>
      <c r="F101" s="143"/>
      <c r="G101" s="154">
        <f>SUM(G19:G99)</f>
        <v>0</v>
      </c>
      <c r="H101" s="155"/>
      <c r="I101" s="154">
        <f>SUM(I19:I99)</f>
        <v>0</v>
      </c>
      <c r="J101" s="143"/>
      <c r="K101" s="154">
        <f>SUM(K19:K99)</f>
        <v>0</v>
      </c>
      <c r="L101" s="155"/>
      <c r="M101" s="154">
        <f>SUM(M19:M99)</f>
        <v>0</v>
      </c>
      <c r="N101" s="155"/>
      <c r="O101" s="155"/>
      <c r="P101" s="154">
        <f>SUM(P19:P99)</f>
        <v>0</v>
      </c>
      <c r="Q101" s="155"/>
      <c r="R101" s="154">
        <f>SUM(R19:R99)</f>
        <v>0</v>
      </c>
    </row>
    <row r="102" spans="2:25" x14ac:dyDescent="0.25">
      <c r="V102" s="130" t="s">
        <v>26</v>
      </c>
      <c r="W102" s="130" t="s">
        <v>26</v>
      </c>
      <c r="X102" s="130" t="s">
        <v>26</v>
      </c>
      <c r="Y102" s="130" t="s">
        <v>26</v>
      </c>
    </row>
    <row r="103" spans="2:25" x14ac:dyDescent="0.25">
      <c r="V103" s="130" t="s">
        <v>26</v>
      </c>
      <c r="W103" s="130" t="s">
        <v>26</v>
      </c>
      <c r="X103" s="130" t="s">
        <v>26</v>
      </c>
      <c r="Y103" s="130" t="s">
        <v>26</v>
      </c>
    </row>
  </sheetData>
  <sheetProtection password="A575" sheet="1" objects="1" scenarios="1" selectLockedCells="1"/>
  <dataValidations count="1">
    <dataValidation type="decimal" allowBlank="1" showInputMessage="1" showErrorMessage="1" errorTitle="Validation Error" error="Incorrect data type (numbers/decimal only)" sqref="C19:R32 C36:R49 C53:R66 C70:R83 C86:R99">
      <formula1>0</formula1>
      <formula2>9.99999999999999E+32</formula2>
    </dataValidation>
  </dataValidations>
  <printOptions horizontalCentered="1" gridLinesSet="0"/>
  <pageMargins left="0" right="0" top="0.57999999999999996" bottom="1.25" header="0.17" footer="0.28000000000000003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BI234"/>
  <sheetViews>
    <sheetView showGridLines="0" topLeftCell="A22" workbookViewId="0">
      <selection activeCell="G26" sqref="G26"/>
    </sheetView>
  </sheetViews>
  <sheetFormatPr defaultColWidth="8.8984375" defaultRowHeight="13" x14ac:dyDescent="0.35"/>
  <cols>
    <col min="1" max="1" width="18.09765625" style="109" customWidth="1"/>
    <col min="2" max="2" width="7.8984375" style="110" customWidth="1"/>
    <col min="3" max="3" width="6.3984375" style="110" customWidth="1"/>
    <col min="4" max="4" width="1.59765625" style="110" customWidth="1"/>
    <col min="5" max="5" width="12.3984375" style="110" customWidth="1"/>
    <col min="6" max="6" width="1.69921875" style="110" customWidth="1"/>
    <col min="7" max="7" width="7.59765625" style="110" customWidth="1"/>
    <col min="8" max="8" width="1.59765625" style="110" customWidth="1"/>
    <col min="9" max="9" width="10.09765625" style="110" customWidth="1"/>
    <col min="10" max="10" width="1.69921875" style="110" customWidth="1"/>
    <col min="11" max="11" width="5.3984375" style="110" customWidth="1"/>
    <col min="12" max="12" width="3.09765625" style="110" customWidth="1"/>
    <col min="13" max="13" width="13.3984375" style="110" customWidth="1"/>
    <col min="14" max="14" width="2.59765625" style="110" customWidth="1"/>
    <col min="15" max="15" width="2.3984375" style="110" customWidth="1"/>
    <col min="16" max="16" width="5.59765625" style="110" customWidth="1"/>
    <col min="17" max="17" width="2" style="110" customWidth="1"/>
    <col min="18" max="18" width="22.8984375" style="110" customWidth="1"/>
    <col min="19" max="20" width="8.8984375" style="110" customWidth="1"/>
    <col min="21" max="61" width="9.09765625" style="74" customWidth="1"/>
    <col min="62" max="16384" width="8.8984375" style="110"/>
  </cols>
  <sheetData>
    <row r="1" spans="1:20" x14ac:dyDescent="0.3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56" t="s">
        <v>71</v>
      </c>
    </row>
    <row r="2" spans="1:20" x14ac:dyDescent="0.35">
      <c r="A2" s="107"/>
      <c r="B2" s="107"/>
      <c r="C2" s="107"/>
      <c r="D2" s="107"/>
      <c r="E2" s="107"/>
      <c r="F2" s="107"/>
      <c r="G2" s="107"/>
      <c r="H2" s="107"/>
      <c r="I2" s="74"/>
      <c r="J2" s="74"/>
      <c r="K2" s="74"/>
      <c r="L2" s="74"/>
      <c r="M2" s="107"/>
      <c r="N2" s="107"/>
      <c r="O2" s="107"/>
      <c r="P2" s="107"/>
      <c r="Q2" s="107"/>
      <c r="R2" s="107"/>
      <c r="S2" s="107"/>
    </row>
    <row r="3" spans="1:20" x14ac:dyDescent="0.35">
      <c r="A3" s="211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07"/>
      <c r="T3" s="107"/>
    </row>
    <row r="4" spans="1:20" x14ac:dyDescent="0.35">
      <c r="A4" s="209" t="s">
        <v>113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107"/>
      <c r="T4" s="107"/>
    </row>
    <row r="5" spans="1:20" x14ac:dyDescent="0.35">
      <c r="A5" s="209" t="s">
        <v>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107"/>
      <c r="T5" s="107"/>
    </row>
    <row r="6" spans="1:20" x14ac:dyDescent="0.35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0" x14ac:dyDescent="0.35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9" spans="1:20" x14ac:dyDescent="0.35">
      <c r="A9" s="147" t="s">
        <v>38</v>
      </c>
      <c r="B9" s="147"/>
      <c r="C9" s="157" t="s">
        <v>13</v>
      </c>
      <c r="D9" s="158"/>
      <c r="E9" s="157" t="s">
        <v>58</v>
      </c>
      <c r="F9" s="159"/>
      <c r="G9" s="157" t="s">
        <v>13</v>
      </c>
      <c r="H9" s="158"/>
      <c r="I9" s="157" t="s">
        <v>58</v>
      </c>
      <c r="J9" s="118"/>
      <c r="K9" s="157" t="s">
        <v>13</v>
      </c>
      <c r="L9" s="158"/>
      <c r="M9" s="157" t="s">
        <v>59</v>
      </c>
      <c r="N9" s="159"/>
      <c r="O9" s="159"/>
      <c r="P9" s="157" t="s">
        <v>13</v>
      </c>
      <c r="Q9" s="158"/>
      <c r="R9" s="157" t="s">
        <v>39</v>
      </c>
      <c r="S9" s="107"/>
      <c r="T9" s="107"/>
    </row>
    <row r="10" spans="1:20" x14ac:dyDescent="0.35">
      <c r="A10" s="147" t="s">
        <v>40</v>
      </c>
      <c r="B10" s="147"/>
      <c r="C10" s="157"/>
      <c r="D10" s="158"/>
      <c r="E10" s="157" t="s">
        <v>55</v>
      </c>
      <c r="F10" s="159"/>
      <c r="G10" s="157"/>
      <c r="H10" s="158"/>
      <c r="I10" s="157" t="s">
        <v>57</v>
      </c>
      <c r="J10" s="118"/>
      <c r="K10" s="157"/>
      <c r="L10" s="158"/>
      <c r="M10" s="157" t="s">
        <v>56</v>
      </c>
      <c r="N10" s="159"/>
      <c r="O10" s="159"/>
      <c r="P10" s="157"/>
      <c r="Q10" s="158"/>
      <c r="R10" s="157" t="s">
        <v>60</v>
      </c>
      <c r="S10" s="107"/>
      <c r="T10" s="107"/>
    </row>
    <row r="11" spans="1:20" x14ac:dyDescent="0.35">
      <c r="A11" s="118"/>
      <c r="B11" s="118"/>
      <c r="C11" s="160" t="s">
        <v>41</v>
      </c>
      <c r="D11" s="161"/>
      <c r="E11" s="162" t="s">
        <v>15</v>
      </c>
      <c r="G11" s="160" t="s">
        <v>41</v>
      </c>
      <c r="H11" s="161"/>
      <c r="I11" s="162" t="s">
        <v>15</v>
      </c>
      <c r="J11" s="118"/>
      <c r="K11" s="160" t="s">
        <v>41</v>
      </c>
      <c r="L11" s="161"/>
      <c r="M11" s="162" t="s">
        <v>15</v>
      </c>
      <c r="N11" s="163"/>
      <c r="O11" s="163"/>
      <c r="P11" s="160" t="s">
        <v>41</v>
      </c>
      <c r="Q11" s="161"/>
      <c r="R11" s="162" t="s">
        <v>15</v>
      </c>
      <c r="S11" s="107"/>
      <c r="T11" s="107"/>
    </row>
    <row r="12" spans="1:20" x14ac:dyDescent="0.35">
      <c r="A12" s="107"/>
    </row>
    <row r="13" spans="1:20" x14ac:dyDescent="0.35">
      <c r="A13" s="107"/>
      <c r="R13" s="74"/>
    </row>
    <row r="14" spans="1:20" x14ac:dyDescent="0.35">
      <c r="A14" s="156" t="s">
        <v>105</v>
      </c>
      <c r="B14" s="107"/>
      <c r="C14" s="66"/>
      <c r="D14" s="73"/>
      <c r="E14" s="66"/>
      <c r="F14" s="74"/>
      <c r="G14" s="65"/>
      <c r="H14" s="74"/>
      <c r="I14" s="65"/>
      <c r="J14" s="74"/>
      <c r="K14" s="65"/>
      <c r="L14" s="74"/>
      <c r="M14" s="65"/>
      <c r="N14" s="74"/>
      <c r="O14" s="74"/>
      <c r="P14" s="164">
        <f>C14+G14+K14</f>
        <v>0</v>
      </c>
      <c r="Q14" s="74"/>
      <c r="R14" s="105">
        <f>E14+I14+M14</f>
        <v>0</v>
      </c>
    </row>
    <row r="15" spans="1:20" x14ac:dyDescent="0.35">
      <c r="A15" s="165"/>
      <c r="B15" s="107"/>
      <c r="C15" s="73"/>
      <c r="D15" s="73"/>
      <c r="E15" s="73"/>
      <c r="F15" s="74"/>
      <c r="G15" s="73"/>
      <c r="H15" s="74"/>
      <c r="I15" s="73"/>
      <c r="J15" s="74"/>
      <c r="K15" s="74"/>
      <c r="L15" s="74"/>
      <c r="M15" s="74"/>
      <c r="N15" s="74"/>
      <c r="O15" s="74"/>
      <c r="P15" s="74"/>
      <c r="Q15" s="74"/>
      <c r="R15" s="73"/>
    </row>
    <row r="16" spans="1:20" x14ac:dyDescent="0.35">
      <c r="A16" s="156" t="s">
        <v>106</v>
      </c>
      <c r="B16" s="107"/>
      <c r="C16" s="66"/>
      <c r="D16" s="73"/>
      <c r="E16" s="66"/>
      <c r="F16" s="74"/>
      <c r="G16" s="66"/>
      <c r="H16" s="74"/>
      <c r="I16" s="66"/>
      <c r="J16" s="74"/>
      <c r="K16" s="65"/>
      <c r="L16" s="74"/>
      <c r="M16" s="65"/>
      <c r="N16" s="74"/>
      <c r="O16" s="74"/>
      <c r="P16" s="164">
        <f>C16+G16+K16</f>
        <v>0</v>
      </c>
      <c r="Q16" s="74"/>
      <c r="R16" s="105">
        <f>E16+I16+M16</f>
        <v>0</v>
      </c>
    </row>
    <row r="17" spans="1:20" x14ac:dyDescent="0.35">
      <c r="A17" s="156"/>
      <c r="B17" s="107"/>
      <c r="C17" s="73"/>
      <c r="D17" s="73"/>
      <c r="E17" s="73"/>
      <c r="F17" s="74"/>
      <c r="G17" s="73"/>
      <c r="H17" s="74"/>
      <c r="I17" s="73"/>
      <c r="J17" s="74"/>
      <c r="K17" s="74"/>
      <c r="L17" s="74"/>
      <c r="M17" s="74"/>
      <c r="N17" s="74"/>
      <c r="O17" s="74"/>
      <c r="P17" s="74"/>
      <c r="Q17" s="74"/>
      <c r="R17" s="73"/>
    </row>
    <row r="18" spans="1:20" x14ac:dyDescent="0.35">
      <c r="A18" s="156" t="s">
        <v>126</v>
      </c>
      <c r="B18" s="107"/>
      <c r="C18" s="66"/>
      <c r="D18" s="73"/>
      <c r="E18" s="66"/>
      <c r="F18" s="74"/>
      <c r="G18" s="66"/>
      <c r="H18" s="74"/>
      <c r="I18" s="66"/>
      <c r="J18" s="74"/>
      <c r="K18" s="65"/>
      <c r="L18" s="74"/>
      <c r="M18" s="65"/>
      <c r="N18" s="74"/>
      <c r="O18" s="74"/>
      <c r="P18" s="164">
        <f>C18+G18+K18</f>
        <v>0</v>
      </c>
      <c r="Q18" s="74"/>
      <c r="R18" s="105">
        <f>E18+I18+M18</f>
        <v>0</v>
      </c>
    </row>
    <row r="19" spans="1:20" x14ac:dyDescent="0.35">
      <c r="A19" s="156"/>
      <c r="B19" s="107"/>
      <c r="C19" s="73"/>
      <c r="D19" s="73"/>
      <c r="E19" s="73"/>
      <c r="F19" s="74"/>
      <c r="G19" s="73"/>
      <c r="H19" s="74"/>
      <c r="I19" s="73"/>
      <c r="J19" s="74"/>
      <c r="K19" s="74"/>
      <c r="L19" s="74"/>
      <c r="M19" s="74"/>
      <c r="N19" s="74"/>
      <c r="O19" s="74"/>
      <c r="P19" s="74"/>
      <c r="Q19" s="74"/>
      <c r="R19" s="73"/>
    </row>
    <row r="20" spans="1:20" x14ac:dyDescent="0.35">
      <c r="A20" s="156" t="s">
        <v>107</v>
      </c>
      <c r="B20" s="107"/>
      <c r="C20" s="66"/>
      <c r="D20" s="73"/>
      <c r="E20" s="66"/>
      <c r="F20" s="74"/>
      <c r="G20" s="66"/>
      <c r="H20" s="74"/>
      <c r="I20" s="66"/>
      <c r="J20" s="74"/>
      <c r="K20" s="65"/>
      <c r="L20" s="74"/>
      <c r="M20" s="65"/>
      <c r="N20" s="74"/>
      <c r="O20" s="74"/>
      <c r="P20" s="164">
        <f>C20+G20+K20</f>
        <v>0</v>
      </c>
      <c r="Q20" s="74"/>
      <c r="R20" s="105">
        <f>E20+I20+M20</f>
        <v>0</v>
      </c>
    </row>
    <row r="21" spans="1:20" x14ac:dyDescent="0.35">
      <c r="A21" s="156"/>
      <c r="B21" s="107"/>
      <c r="C21" s="73"/>
      <c r="D21" s="73"/>
      <c r="E21" s="73"/>
      <c r="F21" s="74"/>
      <c r="G21" s="73"/>
      <c r="H21" s="74"/>
      <c r="I21" s="73"/>
      <c r="J21" s="74"/>
      <c r="K21" s="74"/>
      <c r="L21" s="74"/>
      <c r="M21" s="74"/>
      <c r="N21" s="74"/>
      <c r="O21" s="74"/>
      <c r="P21" s="74"/>
      <c r="Q21" s="74"/>
      <c r="R21" s="73"/>
    </row>
    <row r="22" spans="1:20" x14ac:dyDescent="0.35">
      <c r="A22" s="156" t="s">
        <v>108</v>
      </c>
      <c r="B22" s="107"/>
      <c r="C22" s="65"/>
      <c r="D22" s="73"/>
      <c r="E22" s="65"/>
      <c r="F22" s="74"/>
      <c r="G22" s="66"/>
      <c r="H22" s="74"/>
      <c r="I22" s="66"/>
      <c r="J22" s="74"/>
      <c r="K22" s="65"/>
      <c r="L22" s="74"/>
      <c r="M22" s="65"/>
      <c r="N22" s="74"/>
      <c r="O22" s="74"/>
      <c r="P22" s="164">
        <f>C22+G22+K22</f>
        <v>0</v>
      </c>
      <c r="Q22" s="74"/>
      <c r="R22" s="105">
        <f>E22+I22+M22</f>
        <v>0</v>
      </c>
    </row>
    <row r="23" spans="1:20" x14ac:dyDescent="0.35">
      <c r="A23" s="156"/>
      <c r="B23" s="107"/>
      <c r="C23" s="73"/>
      <c r="D23" s="73"/>
      <c r="E23" s="73"/>
      <c r="F23" s="74"/>
      <c r="G23" s="73"/>
      <c r="H23" s="74"/>
      <c r="I23" s="73"/>
      <c r="J23" s="74"/>
      <c r="K23" s="74"/>
      <c r="L23" s="74"/>
      <c r="M23" s="74"/>
      <c r="N23" s="74"/>
      <c r="O23" s="74"/>
      <c r="P23" s="74"/>
      <c r="Q23" s="74"/>
      <c r="R23" s="73"/>
    </row>
    <row r="24" spans="1:20" x14ac:dyDescent="0.35">
      <c r="A24" s="156" t="s">
        <v>42</v>
      </c>
      <c r="B24" s="107"/>
      <c r="C24" s="65"/>
      <c r="D24" s="73"/>
      <c r="E24" s="65"/>
      <c r="F24" s="74"/>
      <c r="G24" s="66"/>
      <c r="H24" s="74"/>
      <c r="I24" s="66"/>
      <c r="J24" s="74"/>
      <c r="K24" s="65"/>
      <c r="L24" s="74"/>
      <c r="M24" s="65"/>
      <c r="N24" s="74"/>
      <c r="O24" s="74"/>
      <c r="P24" s="164">
        <f>C24+G24+K24</f>
        <v>0</v>
      </c>
      <c r="Q24" s="74"/>
      <c r="R24" s="105">
        <f>E24+I24+M24</f>
        <v>0</v>
      </c>
    </row>
    <row r="25" spans="1:20" x14ac:dyDescent="0.35">
      <c r="A25" s="156"/>
      <c r="B25" s="107"/>
      <c r="C25" s="73"/>
      <c r="D25" s="73"/>
      <c r="E25" s="73"/>
      <c r="F25" s="74"/>
      <c r="G25" s="73"/>
      <c r="H25" s="74"/>
      <c r="I25" s="73"/>
      <c r="J25" s="74"/>
      <c r="K25" s="74"/>
      <c r="L25" s="74"/>
      <c r="M25" s="74"/>
      <c r="N25" s="74"/>
      <c r="O25" s="74"/>
      <c r="P25" s="74"/>
      <c r="Q25" s="74"/>
      <c r="R25" s="73"/>
    </row>
    <row r="26" spans="1:20" x14ac:dyDescent="0.35">
      <c r="A26" s="156" t="s">
        <v>43</v>
      </c>
      <c r="B26" s="107"/>
      <c r="C26" s="65"/>
      <c r="D26" s="73"/>
      <c r="E26" s="65"/>
      <c r="F26" s="74"/>
      <c r="G26" s="65"/>
      <c r="H26" s="74"/>
      <c r="I26" s="65"/>
      <c r="J26" s="74"/>
      <c r="K26" s="65"/>
      <c r="L26" s="74"/>
      <c r="M26" s="65"/>
      <c r="N26" s="74"/>
      <c r="O26" s="74"/>
      <c r="P26" s="164">
        <f>C26+G26+K26</f>
        <v>0</v>
      </c>
      <c r="Q26" s="74"/>
      <c r="R26" s="105">
        <f>E26+I26+M26</f>
        <v>0</v>
      </c>
    </row>
    <row r="27" spans="1:20" x14ac:dyDescent="0.35">
      <c r="A27" s="156"/>
      <c r="B27" s="107"/>
      <c r="C27" s="73"/>
      <c r="D27" s="73"/>
      <c r="E27" s="73"/>
      <c r="F27" s="74"/>
      <c r="G27" s="73"/>
      <c r="H27" s="74"/>
      <c r="I27" s="73"/>
      <c r="J27" s="74"/>
      <c r="K27" s="74"/>
      <c r="L27" s="74"/>
      <c r="M27" s="74"/>
      <c r="N27" s="74"/>
      <c r="O27" s="74"/>
      <c r="P27" s="74"/>
      <c r="Q27" s="74"/>
      <c r="R27" s="73"/>
    </row>
    <row r="28" spans="1:20" x14ac:dyDescent="0.35">
      <c r="A28" s="156" t="s">
        <v>702</v>
      </c>
      <c r="B28" s="107"/>
      <c r="C28" s="65"/>
      <c r="D28" s="73"/>
      <c r="E28" s="65"/>
      <c r="F28" s="74"/>
      <c r="G28" s="65"/>
      <c r="H28" s="74"/>
      <c r="I28" s="65"/>
      <c r="J28" s="74"/>
      <c r="K28" s="65"/>
      <c r="L28" s="74"/>
      <c r="M28" s="65"/>
      <c r="N28" s="74"/>
      <c r="O28" s="74"/>
      <c r="P28" s="164">
        <f>C28+G28+K28</f>
        <v>0</v>
      </c>
      <c r="Q28" s="74"/>
      <c r="R28" s="105">
        <f>E28+I28+M28</f>
        <v>0</v>
      </c>
    </row>
    <row r="29" spans="1:20" x14ac:dyDescent="0.35">
      <c r="A29" s="156"/>
      <c r="B29" s="107"/>
      <c r="C29" s="73"/>
      <c r="D29" s="73"/>
      <c r="E29" s="73"/>
      <c r="F29" s="74"/>
      <c r="G29" s="73"/>
      <c r="H29" s="74"/>
      <c r="I29" s="73"/>
      <c r="J29" s="74"/>
      <c r="K29" s="74"/>
      <c r="L29" s="74"/>
      <c r="M29" s="74"/>
      <c r="N29" s="74"/>
      <c r="O29" s="74"/>
      <c r="P29" s="74"/>
      <c r="Q29" s="74"/>
      <c r="R29" s="73"/>
    </row>
    <row r="30" spans="1:20" ht="12" customHeight="1" x14ac:dyDescent="0.35">
      <c r="A30" s="156" t="s">
        <v>44</v>
      </c>
      <c r="B30" s="107"/>
      <c r="C30" s="65"/>
      <c r="D30" s="73"/>
      <c r="E30" s="65"/>
      <c r="F30" s="74"/>
      <c r="G30" s="65"/>
      <c r="H30" s="74"/>
      <c r="I30" s="65"/>
      <c r="J30" s="74"/>
      <c r="K30" s="65"/>
      <c r="L30" s="74"/>
      <c r="M30" s="65"/>
      <c r="N30" s="74"/>
      <c r="O30" s="74"/>
      <c r="P30" s="164">
        <f>C30+G30+K30</f>
        <v>0</v>
      </c>
      <c r="Q30" s="74"/>
      <c r="R30" s="105">
        <f>E30+I30+M30</f>
        <v>0</v>
      </c>
    </row>
    <row r="31" spans="1:20" ht="12" customHeight="1" x14ac:dyDescent="0.35">
      <c r="A31" s="107"/>
      <c r="B31" s="10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3"/>
    </row>
    <row r="32" spans="1:20" ht="13.5" thickBot="1" x14ac:dyDescent="0.4">
      <c r="A32" s="118" t="s">
        <v>27</v>
      </c>
      <c r="B32" s="107"/>
      <c r="C32" s="102">
        <f>C14+C16+C18+C20+C22+C24+C26</f>
        <v>0</v>
      </c>
      <c r="D32" s="166"/>
      <c r="E32" s="102">
        <f>E14+E16+E18+E20+E22+E24+E26</f>
        <v>0</v>
      </c>
      <c r="F32" s="125"/>
      <c r="G32" s="102">
        <f>G14+G16+G18+G20+G22+G24+G26</f>
        <v>0</v>
      </c>
      <c r="H32" s="125"/>
      <c r="I32" s="167">
        <f>I14+I16+I18+I20+I22+I24+I26</f>
        <v>0</v>
      </c>
      <c r="J32" s="125"/>
      <c r="K32" s="167">
        <f>K14+K16+K18+K20+K22+K24+K26</f>
        <v>0</v>
      </c>
      <c r="L32" s="125"/>
      <c r="M32" s="102">
        <f>M14+M16+M18+M20+M22+M24+M26</f>
        <v>0</v>
      </c>
      <c r="N32" s="74"/>
      <c r="O32" s="74"/>
      <c r="P32" s="167">
        <f>P14+P16+P18+P20+P22+P24+P26</f>
        <v>0</v>
      </c>
      <c r="Q32" s="74"/>
      <c r="R32" s="102">
        <f>R14+R16+R18+R20+R22+R24+R26</f>
        <v>0</v>
      </c>
      <c r="S32" s="152"/>
      <c r="T32" s="152"/>
    </row>
    <row r="33" spans="1:20" x14ac:dyDescent="0.35">
      <c r="A33" s="168"/>
      <c r="B33" s="74"/>
      <c r="C33" s="74"/>
      <c r="D33" s="74"/>
      <c r="E33" s="74"/>
      <c r="F33" s="74"/>
      <c r="G33" s="74"/>
      <c r="H33" s="74"/>
      <c r="I33" s="169"/>
      <c r="J33" s="74"/>
      <c r="K33" s="169"/>
      <c r="L33" s="74"/>
      <c r="M33" s="74"/>
      <c r="N33" s="74"/>
      <c r="O33" s="74"/>
      <c r="P33" s="169"/>
      <c r="Q33" s="74"/>
      <c r="R33" s="74"/>
      <c r="S33" s="74"/>
      <c r="T33" s="74"/>
    </row>
    <row r="34" spans="1:20" x14ac:dyDescent="0.35">
      <c r="A34" s="170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x14ac:dyDescent="0.35">
      <c r="A35" s="170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35">
      <c r="A36" s="170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20" x14ac:dyDescent="0.35">
      <c r="A37" s="170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x14ac:dyDescent="0.35">
      <c r="A38" s="170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x14ac:dyDescent="0.35">
      <c r="A39" s="170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x14ac:dyDescent="0.35">
      <c r="A40" s="170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x14ac:dyDescent="0.35">
      <c r="A41" s="170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x14ac:dyDescent="0.35">
      <c r="A42" s="17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x14ac:dyDescent="0.35">
      <c r="A43" s="170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x14ac:dyDescent="0.35">
      <c r="A44" s="170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1:20" x14ac:dyDescent="0.35">
      <c r="A45" s="17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1:20" x14ac:dyDescent="0.35">
      <c r="A46" s="170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x14ac:dyDescent="0.35">
      <c r="A47" s="170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0" x14ac:dyDescent="0.35">
      <c r="A48" s="170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1:1" s="74" customFormat="1" x14ac:dyDescent="0.35">
      <c r="A49" s="170"/>
    </row>
    <row r="50" spans="1:1" s="74" customFormat="1" x14ac:dyDescent="0.35">
      <c r="A50" s="170"/>
    </row>
    <row r="51" spans="1:1" s="74" customFormat="1" x14ac:dyDescent="0.35">
      <c r="A51" s="170"/>
    </row>
    <row r="52" spans="1:1" s="74" customFormat="1" x14ac:dyDescent="0.35">
      <c r="A52" s="170"/>
    </row>
    <row r="53" spans="1:1" s="74" customFormat="1" x14ac:dyDescent="0.35">
      <c r="A53" s="170"/>
    </row>
    <row r="54" spans="1:1" s="74" customFormat="1" x14ac:dyDescent="0.35">
      <c r="A54" s="170"/>
    </row>
    <row r="55" spans="1:1" s="74" customFormat="1" x14ac:dyDescent="0.35">
      <c r="A55" s="170"/>
    </row>
    <row r="56" spans="1:1" s="74" customFormat="1" x14ac:dyDescent="0.35">
      <c r="A56" s="170"/>
    </row>
    <row r="57" spans="1:1" s="74" customFormat="1" x14ac:dyDescent="0.35">
      <c r="A57" s="170"/>
    </row>
    <row r="58" spans="1:1" s="74" customFormat="1" x14ac:dyDescent="0.35">
      <c r="A58" s="170"/>
    </row>
    <row r="59" spans="1:1" s="74" customFormat="1" x14ac:dyDescent="0.35">
      <c r="A59" s="170"/>
    </row>
    <row r="60" spans="1:1" s="74" customFormat="1" x14ac:dyDescent="0.35">
      <c r="A60" s="170"/>
    </row>
    <row r="61" spans="1:1" s="74" customFormat="1" x14ac:dyDescent="0.35">
      <c r="A61" s="170"/>
    </row>
    <row r="62" spans="1:1" s="74" customFormat="1" x14ac:dyDescent="0.35">
      <c r="A62" s="170"/>
    </row>
    <row r="63" spans="1:1" s="74" customFormat="1" x14ac:dyDescent="0.35">
      <c r="A63" s="170"/>
    </row>
    <row r="64" spans="1:1" s="74" customFormat="1" x14ac:dyDescent="0.35">
      <c r="A64" s="170"/>
    </row>
    <row r="65" spans="1:1" s="74" customFormat="1" x14ac:dyDescent="0.35">
      <c r="A65" s="170"/>
    </row>
    <row r="66" spans="1:1" s="74" customFormat="1" x14ac:dyDescent="0.35">
      <c r="A66" s="170"/>
    </row>
    <row r="67" spans="1:1" s="74" customFormat="1" x14ac:dyDescent="0.35">
      <c r="A67" s="170"/>
    </row>
    <row r="68" spans="1:1" s="74" customFormat="1" x14ac:dyDescent="0.35">
      <c r="A68" s="170"/>
    </row>
    <row r="69" spans="1:1" s="74" customFormat="1" x14ac:dyDescent="0.35">
      <c r="A69" s="170"/>
    </row>
    <row r="70" spans="1:1" s="74" customFormat="1" x14ac:dyDescent="0.35">
      <c r="A70" s="170"/>
    </row>
    <row r="71" spans="1:1" s="74" customFormat="1" x14ac:dyDescent="0.35">
      <c r="A71" s="170"/>
    </row>
    <row r="72" spans="1:1" s="74" customFormat="1" x14ac:dyDescent="0.35">
      <c r="A72" s="170"/>
    </row>
    <row r="73" spans="1:1" s="74" customFormat="1" x14ac:dyDescent="0.35">
      <c r="A73" s="170"/>
    </row>
    <row r="74" spans="1:1" s="74" customFormat="1" x14ac:dyDescent="0.35">
      <c r="A74" s="170"/>
    </row>
    <row r="75" spans="1:1" s="74" customFormat="1" x14ac:dyDescent="0.35">
      <c r="A75" s="170"/>
    </row>
    <row r="76" spans="1:1" s="74" customFormat="1" x14ac:dyDescent="0.35">
      <c r="A76" s="170"/>
    </row>
    <row r="77" spans="1:1" s="74" customFormat="1" x14ac:dyDescent="0.35">
      <c r="A77" s="170"/>
    </row>
    <row r="78" spans="1:1" s="74" customFormat="1" x14ac:dyDescent="0.35">
      <c r="A78" s="170"/>
    </row>
    <row r="79" spans="1:1" s="74" customFormat="1" x14ac:dyDescent="0.35">
      <c r="A79" s="170"/>
    </row>
    <row r="80" spans="1:1" s="74" customFormat="1" x14ac:dyDescent="0.35">
      <c r="A80" s="170"/>
    </row>
    <row r="81" spans="1:1" s="74" customFormat="1" x14ac:dyDescent="0.35">
      <c r="A81" s="170"/>
    </row>
    <row r="82" spans="1:1" s="74" customFormat="1" x14ac:dyDescent="0.35">
      <c r="A82" s="170"/>
    </row>
    <row r="83" spans="1:1" s="74" customFormat="1" x14ac:dyDescent="0.35">
      <c r="A83" s="170"/>
    </row>
    <row r="84" spans="1:1" s="74" customFormat="1" x14ac:dyDescent="0.35">
      <c r="A84" s="170"/>
    </row>
    <row r="85" spans="1:1" s="74" customFormat="1" x14ac:dyDescent="0.35">
      <c r="A85" s="170"/>
    </row>
    <row r="86" spans="1:1" s="74" customFormat="1" x14ac:dyDescent="0.35">
      <c r="A86" s="170"/>
    </row>
    <row r="87" spans="1:1" s="74" customFormat="1" x14ac:dyDescent="0.35">
      <c r="A87" s="170"/>
    </row>
    <row r="88" spans="1:1" s="74" customFormat="1" x14ac:dyDescent="0.35">
      <c r="A88" s="170"/>
    </row>
    <row r="89" spans="1:1" s="74" customFormat="1" x14ac:dyDescent="0.35">
      <c r="A89" s="170"/>
    </row>
    <row r="90" spans="1:1" s="74" customFormat="1" x14ac:dyDescent="0.35">
      <c r="A90" s="170"/>
    </row>
    <row r="91" spans="1:1" s="74" customFormat="1" x14ac:dyDescent="0.35">
      <c r="A91" s="170"/>
    </row>
    <row r="92" spans="1:1" s="74" customFormat="1" x14ac:dyDescent="0.35">
      <c r="A92" s="170"/>
    </row>
    <row r="93" spans="1:1" s="74" customFormat="1" x14ac:dyDescent="0.35">
      <c r="A93" s="170"/>
    </row>
    <row r="94" spans="1:1" s="74" customFormat="1" x14ac:dyDescent="0.35">
      <c r="A94" s="170"/>
    </row>
    <row r="95" spans="1:1" s="74" customFormat="1" x14ac:dyDescent="0.35">
      <c r="A95" s="170"/>
    </row>
    <row r="96" spans="1:1" s="74" customFormat="1" x14ac:dyDescent="0.35">
      <c r="A96" s="170"/>
    </row>
    <row r="97" spans="1:1" s="74" customFormat="1" x14ac:dyDescent="0.35">
      <c r="A97" s="170"/>
    </row>
    <row r="98" spans="1:1" s="74" customFormat="1" x14ac:dyDescent="0.35">
      <c r="A98" s="170"/>
    </row>
    <row r="99" spans="1:1" s="74" customFormat="1" x14ac:dyDescent="0.35">
      <c r="A99" s="170"/>
    </row>
    <row r="100" spans="1:1" s="74" customFormat="1" x14ac:dyDescent="0.35">
      <c r="A100" s="170"/>
    </row>
    <row r="101" spans="1:1" s="74" customFormat="1" x14ac:dyDescent="0.35">
      <c r="A101" s="170"/>
    </row>
    <row r="102" spans="1:1" s="74" customFormat="1" x14ac:dyDescent="0.35">
      <c r="A102" s="170"/>
    </row>
    <row r="103" spans="1:1" s="74" customFormat="1" x14ac:dyDescent="0.35">
      <c r="A103" s="170"/>
    </row>
    <row r="104" spans="1:1" s="74" customFormat="1" x14ac:dyDescent="0.35">
      <c r="A104" s="170"/>
    </row>
    <row r="105" spans="1:1" s="74" customFormat="1" x14ac:dyDescent="0.35">
      <c r="A105" s="170"/>
    </row>
    <row r="106" spans="1:1" s="74" customFormat="1" x14ac:dyDescent="0.35">
      <c r="A106" s="170"/>
    </row>
    <row r="107" spans="1:1" s="74" customFormat="1" x14ac:dyDescent="0.35">
      <c r="A107" s="170"/>
    </row>
    <row r="108" spans="1:1" s="74" customFormat="1" x14ac:dyDescent="0.35">
      <c r="A108" s="170"/>
    </row>
    <row r="109" spans="1:1" s="74" customFormat="1" x14ac:dyDescent="0.35">
      <c r="A109" s="170"/>
    </row>
    <row r="110" spans="1:1" s="74" customFormat="1" x14ac:dyDescent="0.35">
      <c r="A110" s="170"/>
    </row>
    <row r="111" spans="1:1" s="74" customFormat="1" x14ac:dyDescent="0.35">
      <c r="A111" s="170"/>
    </row>
    <row r="112" spans="1:1" s="74" customFormat="1" x14ac:dyDescent="0.35">
      <c r="A112" s="170"/>
    </row>
    <row r="113" spans="1:1" s="74" customFormat="1" x14ac:dyDescent="0.35">
      <c r="A113" s="170"/>
    </row>
    <row r="114" spans="1:1" s="74" customFormat="1" x14ac:dyDescent="0.35">
      <c r="A114" s="170"/>
    </row>
    <row r="115" spans="1:1" s="74" customFormat="1" x14ac:dyDescent="0.35">
      <c r="A115" s="170"/>
    </row>
    <row r="116" spans="1:1" s="74" customFormat="1" x14ac:dyDescent="0.35">
      <c r="A116" s="170"/>
    </row>
    <row r="117" spans="1:1" s="74" customFormat="1" x14ac:dyDescent="0.35">
      <c r="A117" s="170"/>
    </row>
    <row r="118" spans="1:1" s="74" customFormat="1" x14ac:dyDescent="0.35">
      <c r="A118" s="170"/>
    </row>
    <row r="119" spans="1:1" s="74" customFormat="1" x14ac:dyDescent="0.35">
      <c r="A119" s="170"/>
    </row>
    <row r="120" spans="1:1" s="74" customFormat="1" x14ac:dyDescent="0.35">
      <c r="A120" s="170"/>
    </row>
    <row r="121" spans="1:1" s="74" customFormat="1" x14ac:dyDescent="0.35">
      <c r="A121" s="170"/>
    </row>
    <row r="122" spans="1:1" s="74" customFormat="1" x14ac:dyDescent="0.35">
      <c r="A122" s="170"/>
    </row>
    <row r="123" spans="1:1" s="74" customFormat="1" x14ac:dyDescent="0.35">
      <c r="A123" s="170"/>
    </row>
    <row r="124" spans="1:1" s="74" customFormat="1" x14ac:dyDescent="0.35">
      <c r="A124" s="170"/>
    </row>
    <row r="125" spans="1:1" s="74" customFormat="1" x14ac:dyDescent="0.35">
      <c r="A125" s="170"/>
    </row>
    <row r="126" spans="1:1" s="74" customFormat="1" x14ac:dyDescent="0.35">
      <c r="A126" s="170"/>
    </row>
    <row r="127" spans="1:1" s="74" customFormat="1" x14ac:dyDescent="0.35">
      <c r="A127" s="170"/>
    </row>
    <row r="128" spans="1:1" s="74" customFormat="1" x14ac:dyDescent="0.35">
      <c r="A128" s="170"/>
    </row>
    <row r="129" spans="1:1" s="74" customFormat="1" x14ac:dyDescent="0.35">
      <c r="A129" s="170"/>
    </row>
    <row r="130" spans="1:1" s="74" customFormat="1" x14ac:dyDescent="0.35">
      <c r="A130" s="170"/>
    </row>
    <row r="131" spans="1:1" s="74" customFormat="1" x14ac:dyDescent="0.35">
      <c r="A131" s="170"/>
    </row>
    <row r="132" spans="1:1" s="74" customFormat="1" x14ac:dyDescent="0.35">
      <c r="A132" s="170"/>
    </row>
    <row r="133" spans="1:1" s="74" customFormat="1" x14ac:dyDescent="0.35">
      <c r="A133" s="170"/>
    </row>
    <row r="134" spans="1:1" s="74" customFormat="1" x14ac:dyDescent="0.35">
      <c r="A134" s="170"/>
    </row>
    <row r="135" spans="1:1" s="74" customFormat="1" x14ac:dyDescent="0.35">
      <c r="A135" s="170"/>
    </row>
    <row r="136" spans="1:1" s="74" customFormat="1" x14ac:dyDescent="0.35">
      <c r="A136" s="170"/>
    </row>
    <row r="137" spans="1:1" s="74" customFormat="1" x14ac:dyDescent="0.35">
      <c r="A137" s="170"/>
    </row>
    <row r="138" spans="1:1" s="74" customFormat="1" x14ac:dyDescent="0.35">
      <c r="A138" s="170"/>
    </row>
    <row r="139" spans="1:1" s="74" customFormat="1" x14ac:dyDescent="0.35">
      <c r="A139" s="170"/>
    </row>
    <row r="140" spans="1:1" s="74" customFormat="1" x14ac:dyDescent="0.35">
      <c r="A140" s="170"/>
    </row>
    <row r="141" spans="1:1" s="74" customFormat="1" x14ac:dyDescent="0.35">
      <c r="A141" s="170"/>
    </row>
    <row r="142" spans="1:1" s="74" customFormat="1" x14ac:dyDescent="0.35">
      <c r="A142" s="170"/>
    </row>
    <row r="143" spans="1:1" s="74" customFormat="1" x14ac:dyDescent="0.35">
      <c r="A143" s="170"/>
    </row>
    <row r="144" spans="1:1" s="74" customFormat="1" x14ac:dyDescent="0.35">
      <c r="A144" s="170"/>
    </row>
    <row r="145" spans="1:1" s="74" customFormat="1" x14ac:dyDescent="0.35">
      <c r="A145" s="170"/>
    </row>
    <row r="146" spans="1:1" s="74" customFormat="1" x14ac:dyDescent="0.35">
      <c r="A146" s="170"/>
    </row>
    <row r="147" spans="1:1" s="74" customFormat="1" x14ac:dyDescent="0.35">
      <c r="A147" s="170"/>
    </row>
    <row r="148" spans="1:1" s="74" customFormat="1" x14ac:dyDescent="0.35">
      <c r="A148" s="170"/>
    </row>
    <row r="149" spans="1:1" s="74" customFormat="1" x14ac:dyDescent="0.35">
      <c r="A149" s="170"/>
    </row>
    <row r="150" spans="1:1" s="74" customFormat="1" x14ac:dyDescent="0.35">
      <c r="A150" s="170"/>
    </row>
    <row r="151" spans="1:1" s="74" customFormat="1" x14ac:dyDescent="0.35">
      <c r="A151" s="170"/>
    </row>
    <row r="152" spans="1:1" s="74" customFormat="1" x14ac:dyDescent="0.35">
      <c r="A152" s="170"/>
    </row>
    <row r="153" spans="1:1" s="74" customFormat="1" x14ac:dyDescent="0.35">
      <c r="A153" s="170"/>
    </row>
    <row r="154" spans="1:1" s="74" customFormat="1" x14ac:dyDescent="0.35">
      <c r="A154" s="170"/>
    </row>
    <row r="155" spans="1:1" s="74" customFormat="1" x14ac:dyDescent="0.35">
      <c r="A155" s="170"/>
    </row>
    <row r="156" spans="1:1" s="74" customFormat="1" x14ac:dyDescent="0.35">
      <c r="A156" s="170"/>
    </row>
    <row r="157" spans="1:1" s="74" customFormat="1" x14ac:dyDescent="0.35">
      <c r="A157" s="170"/>
    </row>
    <row r="158" spans="1:1" s="74" customFormat="1" x14ac:dyDescent="0.35">
      <c r="A158" s="170"/>
    </row>
    <row r="159" spans="1:1" s="74" customFormat="1" x14ac:dyDescent="0.35">
      <c r="A159" s="170"/>
    </row>
    <row r="160" spans="1:1" s="74" customFormat="1" x14ac:dyDescent="0.35">
      <c r="A160" s="170"/>
    </row>
    <row r="161" spans="1:1" s="74" customFormat="1" x14ac:dyDescent="0.35">
      <c r="A161" s="170"/>
    </row>
    <row r="162" spans="1:1" s="74" customFormat="1" x14ac:dyDescent="0.35">
      <c r="A162" s="170"/>
    </row>
    <row r="163" spans="1:1" s="74" customFormat="1" x14ac:dyDescent="0.35">
      <c r="A163" s="170"/>
    </row>
    <row r="164" spans="1:1" s="74" customFormat="1" x14ac:dyDescent="0.35">
      <c r="A164" s="170"/>
    </row>
    <row r="165" spans="1:1" s="74" customFormat="1" x14ac:dyDescent="0.35">
      <c r="A165" s="170"/>
    </row>
    <row r="166" spans="1:1" s="74" customFormat="1" x14ac:dyDescent="0.35">
      <c r="A166" s="170"/>
    </row>
    <row r="167" spans="1:1" s="74" customFormat="1" x14ac:dyDescent="0.35">
      <c r="A167" s="170"/>
    </row>
    <row r="168" spans="1:1" s="74" customFormat="1" x14ac:dyDescent="0.35">
      <c r="A168" s="170"/>
    </row>
    <row r="169" spans="1:1" s="74" customFormat="1" x14ac:dyDescent="0.35">
      <c r="A169" s="170"/>
    </row>
    <row r="170" spans="1:1" s="74" customFormat="1" x14ac:dyDescent="0.35">
      <c r="A170" s="170"/>
    </row>
    <row r="171" spans="1:1" s="74" customFormat="1" x14ac:dyDescent="0.35">
      <c r="A171" s="170"/>
    </row>
    <row r="172" spans="1:1" s="74" customFormat="1" x14ac:dyDescent="0.35">
      <c r="A172" s="170"/>
    </row>
    <row r="173" spans="1:1" s="74" customFormat="1" x14ac:dyDescent="0.35">
      <c r="A173" s="170"/>
    </row>
    <row r="174" spans="1:1" s="74" customFormat="1" x14ac:dyDescent="0.35">
      <c r="A174" s="170"/>
    </row>
    <row r="175" spans="1:1" s="74" customFormat="1" x14ac:dyDescent="0.35">
      <c r="A175" s="170"/>
    </row>
    <row r="176" spans="1:1" s="74" customFormat="1" x14ac:dyDescent="0.35">
      <c r="A176" s="170"/>
    </row>
    <row r="177" spans="1:1" s="74" customFormat="1" x14ac:dyDescent="0.35">
      <c r="A177" s="170"/>
    </row>
    <row r="178" spans="1:1" s="74" customFormat="1" x14ac:dyDescent="0.35">
      <c r="A178" s="170"/>
    </row>
    <row r="179" spans="1:1" s="74" customFormat="1" x14ac:dyDescent="0.35">
      <c r="A179" s="170"/>
    </row>
    <row r="180" spans="1:1" s="74" customFormat="1" x14ac:dyDescent="0.35">
      <c r="A180" s="170"/>
    </row>
    <row r="181" spans="1:1" s="74" customFormat="1" x14ac:dyDescent="0.35">
      <c r="A181" s="170"/>
    </row>
    <row r="182" spans="1:1" s="74" customFormat="1" x14ac:dyDescent="0.35">
      <c r="A182" s="170"/>
    </row>
    <row r="183" spans="1:1" s="74" customFormat="1" x14ac:dyDescent="0.35">
      <c r="A183" s="170"/>
    </row>
    <row r="184" spans="1:1" s="74" customFormat="1" x14ac:dyDescent="0.35">
      <c r="A184" s="170"/>
    </row>
    <row r="185" spans="1:1" s="74" customFormat="1" x14ac:dyDescent="0.35">
      <c r="A185" s="170"/>
    </row>
    <row r="186" spans="1:1" s="74" customFormat="1" x14ac:dyDescent="0.35">
      <c r="A186" s="170"/>
    </row>
    <row r="187" spans="1:1" s="74" customFormat="1" x14ac:dyDescent="0.35">
      <c r="A187" s="170"/>
    </row>
    <row r="188" spans="1:1" s="74" customFormat="1" x14ac:dyDescent="0.35">
      <c r="A188" s="170"/>
    </row>
    <row r="189" spans="1:1" s="74" customFormat="1" x14ac:dyDescent="0.35">
      <c r="A189" s="170"/>
    </row>
    <row r="190" spans="1:1" s="74" customFormat="1" x14ac:dyDescent="0.35">
      <c r="A190" s="170"/>
    </row>
    <row r="191" spans="1:1" s="74" customFormat="1" x14ac:dyDescent="0.35">
      <c r="A191" s="170"/>
    </row>
    <row r="192" spans="1:1" s="74" customFormat="1" x14ac:dyDescent="0.35">
      <c r="A192" s="170"/>
    </row>
    <row r="193" spans="1:1" s="74" customFormat="1" x14ac:dyDescent="0.35">
      <c r="A193" s="170"/>
    </row>
    <row r="194" spans="1:1" s="74" customFormat="1" x14ac:dyDescent="0.35">
      <c r="A194" s="170"/>
    </row>
    <row r="195" spans="1:1" s="74" customFormat="1" x14ac:dyDescent="0.35">
      <c r="A195" s="170"/>
    </row>
    <row r="196" spans="1:1" s="74" customFormat="1" x14ac:dyDescent="0.35">
      <c r="A196" s="170"/>
    </row>
    <row r="197" spans="1:1" s="74" customFormat="1" x14ac:dyDescent="0.35">
      <c r="A197" s="170"/>
    </row>
    <row r="198" spans="1:1" s="74" customFormat="1" x14ac:dyDescent="0.35">
      <c r="A198" s="170"/>
    </row>
    <row r="199" spans="1:1" s="74" customFormat="1" x14ac:dyDescent="0.35">
      <c r="A199" s="170"/>
    </row>
    <row r="200" spans="1:1" s="74" customFormat="1" x14ac:dyDescent="0.35">
      <c r="A200" s="170"/>
    </row>
    <row r="201" spans="1:1" s="74" customFormat="1" x14ac:dyDescent="0.35">
      <c r="A201" s="170"/>
    </row>
    <row r="202" spans="1:1" s="74" customFormat="1" x14ac:dyDescent="0.35">
      <c r="A202" s="170"/>
    </row>
    <row r="203" spans="1:1" s="74" customFormat="1" x14ac:dyDescent="0.35">
      <c r="A203" s="170"/>
    </row>
    <row r="204" spans="1:1" s="74" customFormat="1" x14ac:dyDescent="0.35">
      <c r="A204" s="170"/>
    </row>
    <row r="205" spans="1:1" s="74" customFormat="1" x14ac:dyDescent="0.35">
      <c r="A205" s="170"/>
    </row>
    <row r="206" spans="1:1" s="74" customFormat="1" x14ac:dyDescent="0.35">
      <c r="A206" s="170"/>
    </row>
    <row r="207" spans="1:1" s="74" customFormat="1" x14ac:dyDescent="0.35">
      <c r="A207" s="170"/>
    </row>
    <row r="208" spans="1:1" s="74" customFormat="1" x14ac:dyDescent="0.35">
      <c r="A208" s="170"/>
    </row>
    <row r="209" spans="1:1" s="74" customFormat="1" x14ac:dyDescent="0.35">
      <c r="A209" s="170"/>
    </row>
    <row r="210" spans="1:1" s="74" customFormat="1" x14ac:dyDescent="0.35">
      <c r="A210" s="170"/>
    </row>
    <row r="211" spans="1:1" s="74" customFormat="1" x14ac:dyDescent="0.35">
      <c r="A211" s="170"/>
    </row>
    <row r="212" spans="1:1" s="74" customFormat="1" x14ac:dyDescent="0.35">
      <c r="A212" s="170"/>
    </row>
    <row r="213" spans="1:1" s="74" customFormat="1" x14ac:dyDescent="0.35">
      <c r="A213" s="170"/>
    </row>
    <row r="214" spans="1:1" s="74" customFormat="1" x14ac:dyDescent="0.35">
      <c r="A214" s="170"/>
    </row>
    <row r="215" spans="1:1" s="74" customFormat="1" x14ac:dyDescent="0.35">
      <c r="A215" s="170"/>
    </row>
    <row r="216" spans="1:1" s="74" customFormat="1" x14ac:dyDescent="0.35">
      <c r="A216" s="170"/>
    </row>
    <row r="217" spans="1:1" s="74" customFormat="1" x14ac:dyDescent="0.35">
      <c r="A217" s="170"/>
    </row>
    <row r="218" spans="1:1" s="74" customFormat="1" x14ac:dyDescent="0.35">
      <c r="A218" s="170"/>
    </row>
    <row r="219" spans="1:1" s="74" customFormat="1" x14ac:dyDescent="0.35">
      <c r="A219" s="170"/>
    </row>
    <row r="220" spans="1:1" s="74" customFormat="1" x14ac:dyDescent="0.35">
      <c r="A220" s="170"/>
    </row>
    <row r="221" spans="1:1" s="74" customFormat="1" x14ac:dyDescent="0.35">
      <c r="A221" s="170"/>
    </row>
    <row r="222" spans="1:1" s="74" customFormat="1" x14ac:dyDescent="0.35">
      <c r="A222" s="170"/>
    </row>
    <row r="223" spans="1:1" s="74" customFormat="1" x14ac:dyDescent="0.35">
      <c r="A223" s="170"/>
    </row>
    <row r="224" spans="1:1" s="74" customFormat="1" x14ac:dyDescent="0.35">
      <c r="A224" s="170"/>
    </row>
    <row r="225" spans="1:1" s="74" customFormat="1" x14ac:dyDescent="0.35">
      <c r="A225" s="170"/>
    </row>
    <row r="226" spans="1:1" s="74" customFormat="1" x14ac:dyDescent="0.35">
      <c r="A226" s="170"/>
    </row>
    <row r="227" spans="1:1" s="74" customFormat="1" x14ac:dyDescent="0.35">
      <c r="A227" s="170"/>
    </row>
    <row r="228" spans="1:1" s="74" customFormat="1" x14ac:dyDescent="0.35">
      <c r="A228" s="170"/>
    </row>
    <row r="229" spans="1:1" s="74" customFormat="1" x14ac:dyDescent="0.35">
      <c r="A229" s="170"/>
    </row>
    <row r="230" spans="1:1" s="74" customFormat="1" x14ac:dyDescent="0.35">
      <c r="A230" s="170"/>
    </row>
    <row r="231" spans="1:1" s="74" customFormat="1" x14ac:dyDescent="0.35">
      <c r="A231" s="170"/>
    </row>
    <row r="232" spans="1:1" s="74" customFormat="1" x14ac:dyDescent="0.35">
      <c r="A232" s="170"/>
    </row>
    <row r="233" spans="1:1" s="74" customFormat="1" x14ac:dyDescent="0.35">
      <c r="A233" s="170"/>
    </row>
    <row r="234" spans="1:1" s="74" customFormat="1" x14ac:dyDescent="0.35">
      <c r="A234" s="170"/>
    </row>
  </sheetData>
  <sheetProtection password="A575" sheet="1" objects="1" scenarios="1" selectLockedCells="1"/>
  <mergeCells count="3">
    <mergeCell ref="A3:R3"/>
    <mergeCell ref="A4:R4"/>
    <mergeCell ref="A5:R5"/>
  </mergeCells>
  <dataValidations count="1">
    <dataValidation type="decimal" allowBlank="1" showInputMessage="1" showErrorMessage="1" errorTitle="Invalid Data" error="the data must be a whole number" sqref="C14:R30 D32 F32 H32 J32 L32">
      <formula1>0</formula1>
      <formula2>9.99999999999999E+22</formula2>
    </dataValidation>
  </dataValidations>
  <printOptions horizontalCentered="1" gridLinesSet="0"/>
  <pageMargins left="0.5" right="0.25" top="0" bottom="0" header="0.36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19</vt:i4>
      </vt:variant>
    </vt:vector>
  </HeadingPairs>
  <TitlesOfParts>
    <vt:vector size="34" baseType="lpstr">
      <vt:lpstr>COVER PAGE</vt:lpstr>
      <vt:lpstr>ASCII</vt:lpstr>
      <vt:lpstr>PAGE1</vt:lpstr>
      <vt:lpstr>PAGE2</vt:lpstr>
      <vt:lpstr>PAGE3</vt:lpstr>
      <vt:lpstr>PAGE4 </vt:lpstr>
      <vt:lpstr>PAGE5</vt:lpstr>
      <vt:lpstr>PAGE6</vt:lpstr>
      <vt:lpstr>PAGE7</vt:lpstr>
      <vt:lpstr>PAGE8</vt:lpstr>
      <vt:lpstr>PAGE9</vt:lpstr>
      <vt:lpstr>PAGE10</vt:lpstr>
      <vt:lpstr>codes</vt:lpstr>
      <vt:lpstr>date</vt:lpstr>
      <vt:lpstr>Sheet1</vt:lpstr>
      <vt:lpstr>day</vt:lpstr>
      <vt:lpstr>Institution</vt:lpstr>
      <vt:lpstr>month</vt:lpstr>
      <vt:lpstr>Name</vt:lpstr>
      <vt:lpstr>'COVER PAGE'!Print_Area</vt:lpstr>
      <vt:lpstr>PAGE1!Print_Area</vt:lpstr>
      <vt:lpstr>PAGE2!Print_Area</vt:lpstr>
      <vt:lpstr>PAGE3!Print_Area</vt:lpstr>
      <vt:lpstr>'PAGE4 '!Print_Area</vt:lpstr>
      <vt:lpstr>PAGE5!Print_Area</vt:lpstr>
      <vt:lpstr>PAGE6!Print_Area</vt:lpstr>
      <vt:lpstr>PAGE7!Print_Area</vt:lpstr>
      <vt:lpstr>PAGE8!Print_Area</vt:lpstr>
      <vt:lpstr>PAGE9!Print_Area</vt:lpstr>
      <vt:lpstr>PAGE1!Print_Titles</vt:lpstr>
      <vt:lpstr>PAGE2!Print_Titles</vt:lpstr>
      <vt:lpstr>PAGE5!Print_Titles</vt:lpstr>
      <vt:lpstr>PAGE6!Print_Titles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M.I.S.  Library</dc:creator>
  <cp:lastModifiedBy>Sherry Ann Persad</cp:lastModifiedBy>
  <cp:lastPrinted>2014-06-18T11:39:34Z</cp:lastPrinted>
  <dcterms:created xsi:type="dcterms:W3CDTF">2000-10-25T16:50:36Z</dcterms:created>
  <dcterms:modified xsi:type="dcterms:W3CDTF">2019-01-14T13:09:24Z</dcterms:modified>
</cp:coreProperties>
</file>