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loudconvert\server\files\tasks\76520f09-945d-4455-b65f-e1d1fdd8ae40\"/>
    </mc:Choice>
  </mc:AlternateContent>
  <xr:revisionPtr revIDLastSave="0" documentId="8_{E49923DD-6D28-4351-B836-6574497E1703}" xr6:coauthVersionLast="47" xr6:coauthVersionMax="47" xr10:uidLastSave="{00000000-0000-0000-0000-000000000000}"/>
  <workbookProtection workbookAlgorithmName="SHA-512" workbookHashValue="YrNhu3SnmgQducJgQsQHzZXMgtYS7XyvP/PAHUEGC27V5RbO/ZEgSKAgGnC0RWVvzC5sdVUtLozmjPiwrnwAlA==" workbookSaltValue="oSlv0xcrQ1Hu2gF7kEuemA==" workbookSpinCount="100000" lockStructure="1"/>
  <bookViews>
    <workbookView xWindow="-120" yWindow="-120" windowWidth="15600" windowHeight="11160" tabRatio="727" xr2:uid="{00000000-000D-0000-FFFF-FFFF00000000}"/>
  </bookViews>
  <sheets>
    <sheet name="COVER PAGE" sheetId="1" r:id="rId1"/>
    <sheet name="General Instructions" sheetId="2" r:id="rId2"/>
    <sheet name="CBTT Validations" sheetId="3" r:id="rId3"/>
    <sheet name="ASCII" sheetId="17" state="veryHidden" r:id="rId4"/>
    <sheet name="ASCII2" sheetId="5" state="veryHidden" r:id="rId5"/>
    <sheet name="PAGE1" sheetId="6" r:id="rId6"/>
    <sheet name="PAGE2" sheetId="7" r:id="rId7"/>
    <sheet name="PAGE3" sheetId="8" r:id="rId8"/>
    <sheet name="PAGE4 " sheetId="9" r:id="rId9"/>
    <sheet name="PAGE5" sheetId="10" r:id="rId10"/>
    <sheet name="PAGE6" sheetId="11" r:id="rId11"/>
    <sheet name="PAGE7" sheetId="12" r:id="rId12"/>
    <sheet name="PAGE8" sheetId="13" r:id="rId13"/>
    <sheet name="PAGE9" sheetId="14" r:id="rId14"/>
    <sheet name="PAGE10" sheetId="15" r:id="rId15"/>
    <sheet name="Controls" sheetId="16" state="veryHidden" r:id="rId16"/>
  </sheets>
  <externalReferences>
    <externalReference r:id="rId17"/>
    <externalReference r:id="rId18"/>
    <externalReference r:id="rId19"/>
  </externalReferences>
  <definedNames>
    <definedName name="_xlnm._FilterDatabase" localSheetId="4" hidden="1">ASCII2!$A$3:$A$202</definedName>
    <definedName name="ACCOUNTS_REVEIVABLE_FINANCING_1402">[1]PG_18!#REF!</definedName>
    <definedName name="BLOCK_DISCOUNTING_140203">[1]PG_18!#REF!</definedName>
    <definedName name="BRIDGING_FINANCE_140301">[1]PG_18!#REF!</definedName>
    <definedName name="CENTRAL_GOVERNMENT_14010101">[1]PG_18!#REF!</definedName>
    <definedName name="CENTRAL_GOVERNMENT_14010201">[1]PG_18!#REF!</definedName>
    <definedName name="CENTRAL_GOVERNMENT_14010301">[1]PG_18!#REF!</definedName>
    <definedName name="CENTRAL_GOVERNMENT_14010401">[1]PG_18!#REF!</definedName>
    <definedName name="CENTRAL_GOVERNMENT_14010501">[1]PG_18!#REF!</definedName>
    <definedName name="CENTRAL_GOVERNMENT_14020101">[1]PG_18!#REF!</definedName>
    <definedName name="CENTRAL_GOVERNMENT_14020201">[1]PG_18!#REF!</definedName>
    <definedName name="CENTRAL_GOVERNMENT_14020301">[1]PG_18!#REF!</definedName>
    <definedName name="CENTRAL_GOVERNMENT_14030101">[1]PG_18!#REF!</definedName>
    <definedName name="COMMERCIAL_BANKS_14010105">[1]PG_18!#REF!</definedName>
    <definedName name="COMMERCIAL_BANKS_14010205">[1]PG_18!#REF!</definedName>
    <definedName name="COMMERCIAL_BANKS_14010305">[1]PG_18!#REF!</definedName>
    <definedName name="COMMERCIAL_BANKS_14010405">[1]PG_18!#REF!</definedName>
    <definedName name="COMMERCIAL_BANKS_14010505">[1]PG_18!#REF!</definedName>
    <definedName name="COMMERCIAL_BANKS_14020105">[1]PG_18!#REF!</definedName>
    <definedName name="COMMERCIAL_BANKS_14020205">[1]PG_18!#REF!</definedName>
    <definedName name="COMMERCIAL_BANKS_14020305">[1]PG_18!#REF!</definedName>
    <definedName name="COMMERCIAL_BANKS_14030105">[1]PG_18!#REF!</definedName>
    <definedName name="CONSUMERS_14010110">[1]PG_18!#REF!</definedName>
    <definedName name="CONSUMERS_14010210">[1]PG_18!#REF!</definedName>
    <definedName name="CONSUMERS_14010310">[1]PG_18!#REF!</definedName>
    <definedName name="CONSUMERS_14010410">[1]PG_18!#REF!</definedName>
    <definedName name="CONSUMERS_14010510">[1]PG_18!#REF!</definedName>
    <definedName name="CONSUMERS_14020110">[1]PG_18!#REF!</definedName>
    <definedName name="CONSUMERS_14020210">[1]PG_18!#REF!</definedName>
    <definedName name="CONSUMERS_14020310">[1]PG_18!#REF!</definedName>
    <definedName name="day">#REF!</definedName>
    <definedName name="DEMAND_140102">[1]PG_18!#REF!</definedName>
    <definedName name="DISCOUNTS_140105">[1]PG_18!#REF!</definedName>
    <definedName name="dot">"."</definedName>
    <definedName name="FACTORING_140201">[1]PG_18!#REF!</definedName>
    <definedName name="INCORPORATED_BUSINESS_14010108">[1]PG_18!#REF!</definedName>
    <definedName name="INCORPORATED_BUSINESS_14010208">[1]PG_18!#REF!</definedName>
    <definedName name="INCORPORATED_BUSINESS_14010308">[1]PG_18!#REF!</definedName>
    <definedName name="INCORPORATED_BUSINESS_14010408">[1]PG_18!#REF!</definedName>
    <definedName name="INCORPORATED_BUSINESS_14010508">[1]PG_18!#REF!</definedName>
    <definedName name="INCORPORATED_BUSINESS_14020108">[1]PG_18!#REF!</definedName>
    <definedName name="INCORPORATED_BUSINESS_14020208">[1]PG_18!#REF!</definedName>
    <definedName name="INCORPORATED_BUSINESS_14020308">[1]PG_18!#REF!</definedName>
    <definedName name="INSTALMENT_140104">[1]PG_18!#REF!</definedName>
    <definedName name="institution" localSheetId="1">#REF!</definedName>
    <definedName name="Institution">Controls!$C$1:$C$26</definedName>
    <definedName name="Institutions">[2]Codes!$C$1:$C$13</definedName>
    <definedName name="LOANS_14">[1]PG_18!#REF!</definedName>
    <definedName name="LOANS_ADVANCES___DISCOUNTS_1401">[1]PG_18!#REF!</definedName>
    <definedName name="LOCAL_GOVERNMENT_14010102">[1]PG_18!#REF!</definedName>
    <definedName name="LOCAL_GOVERNMENT_14010202">[1]PG_18!#REF!</definedName>
    <definedName name="LOCAL_GOVERNMENT_14010302">[1]PG_18!#REF!</definedName>
    <definedName name="LOCAL_GOVERNMENT_14010402">[1]PG_18!#REF!</definedName>
    <definedName name="LOCAL_GOVERNMENT_14010502">[1]PG_18!#REF!</definedName>
    <definedName name="LOCAL_GOVERNMENT_14020102">[1]PG_18!#REF!</definedName>
    <definedName name="LOCAL_GOVERNMENT_14020202">[1]PG_18!#REF!</definedName>
    <definedName name="LOCAL_GOVERNMENT_14020302">[1]PG_18!#REF!</definedName>
    <definedName name="LOCAL_GOVERNMENT_14030102">[1]PG_18!#REF!</definedName>
    <definedName name="month">#REF!</definedName>
    <definedName name="months">[1]Institution_Codes!$D$2:$D$13</definedName>
    <definedName name="Name" localSheetId="1">[2]Cover!$A$6</definedName>
    <definedName name="Name">PAGE1!$C$11</definedName>
    <definedName name="NON_FINANCIAL_STATE_ENTERPRISES_14010107">[1]PG_18!#REF!</definedName>
    <definedName name="NON_FINANCIAL_STATE_ENTERPRISES_14010207">[1]PG_18!#REF!</definedName>
    <definedName name="NON_FINANCIAL_STATE_ENTERPRISES_14010307">[1]PG_18!#REF!</definedName>
    <definedName name="NON_FINANCIAL_STATE_ENTERPRISES_14010407">[1]PG_18!#REF!</definedName>
    <definedName name="NON_FINANCIAL_STATE_ENTERPRISES_14010507">[1]PG_18!#REF!</definedName>
    <definedName name="NON_FINANCIAL_STATE_ENTERPRISES_14020107">[1]PG_18!#REF!</definedName>
    <definedName name="NON_FINANCIAL_STATE_ENTERPRISES_14020207">[1]PG_18!#REF!</definedName>
    <definedName name="NON_FINANCIAL_STATE_ENTERPRISES_14020307">[1]PG_18!#REF!</definedName>
    <definedName name="OTHER_PRIVATE_FIN_INST_14010106">[1]PG_18!#REF!</definedName>
    <definedName name="OTHER_PRIVATE_FIN_INST_14010206">[1]PG_18!#REF!</definedName>
    <definedName name="OTHER_PRIVATE_FIN_INST_14010306">[1]PG_18!#REF!</definedName>
    <definedName name="OTHER_PRIVATE_FIN_INST_14010406">[1]PG_18!#REF!</definedName>
    <definedName name="OTHER_PRIVATE_FIN_INST_14010506">[1]PG_18!#REF!</definedName>
    <definedName name="OTHER_PRIVATE_FIN_INST_14020106">[1]PG_18!#REF!</definedName>
    <definedName name="OTHER_PRIVATE_FIN_INST_14020206">[1]PG_18!#REF!</definedName>
    <definedName name="OTHER_PRIVATE_FIN_INST_14020306">[1]PG_18!#REF!</definedName>
    <definedName name="OVERDRAFT_140101">[1]PG_18!#REF!</definedName>
    <definedName name="Plans">[3]Codes!$C$1:$C$266</definedName>
    <definedName name="_xlnm.Print_Area" localSheetId="0">'COVER PAGE'!$C$1:$J$13</definedName>
    <definedName name="_xlnm.Print_Area" localSheetId="5">PAGE1!$A$1:$Q$100</definedName>
    <definedName name="_xlnm.Print_Area" localSheetId="14">PAGE10!$A$1:$E$34</definedName>
    <definedName name="_xlnm.Print_Area" localSheetId="6">PAGE2!$A$1:$O$109</definedName>
    <definedName name="_xlnm.Print_Area" localSheetId="7">PAGE3!$A$1:$O$60</definedName>
    <definedName name="_xlnm.Print_Area" localSheetId="8">'PAGE4 '!$A$1:$R$68</definedName>
    <definedName name="_xlnm.Print_Area" localSheetId="9">PAGE5!$A$1:$S$114</definedName>
    <definedName name="_xlnm.Print_Area" localSheetId="10">PAGE6!$A$1:$S$113</definedName>
    <definedName name="_xlnm.Print_Area" localSheetId="11">PAGE7!$A$1:$S$37</definedName>
    <definedName name="_xlnm.Print_Area" localSheetId="12">PAGE8!$A$1:$Z$75</definedName>
    <definedName name="_xlnm.Print_Area" localSheetId="13">PAGE9!$A$1:$K$41</definedName>
    <definedName name="_xlnm.Print_Titles" localSheetId="5">PAGE1!$1:$23</definedName>
    <definedName name="_xlnm.Print_Titles" localSheetId="6">PAGE2!$1:$17</definedName>
    <definedName name="_xlnm.Print_Titles" localSheetId="9">PAGE5!$1:$16</definedName>
    <definedName name="_xlnm.Print_Titles" localSheetId="10">PAGE6!$1:$17</definedName>
    <definedName name="REAL_ESTATE_LOANS_1403">[1]PG_18!#REF!</definedName>
    <definedName name="sect1.1">#REF!</definedName>
    <definedName name="sect1.2">#REF!</definedName>
    <definedName name="sect1.3">#REF!</definedName>
    <definedName name="sect10.1">#REF!</definedName>
    <definedName name="sect10.2">#REF!</definedName>
    <definedName name="sect10.3">#REF!</definedName>
    <definedName name="sect10.4">#REF!</definedName>
    <definedName name="sect11.1">#REF!</definedName>
    <definedName name="sect11.2">#REF!</definedName>
    <definedName name="sect11.3">#REF!</definedName>
    <definedName name="sect11.4">#REF!</definedName>
    <definedName name="sect11.5">#REF!</definedName>
    <definedName name="sect12.1">#REF!</definedName>
    <definedName name="sect12.2">#REF!</definedName>
    <definedName name="sect12.3">#REF!</definedName>
    <definedName name="sect12.4">#REF!</definedName>
    <definedName name="sect13.1">#REF!</definedName>
    <definedName name="sect13.2">#REF!</definedName>
    <definedName name="sect13.3">#REF!</definedName>
    <definedName name="sect13.4">#REF!</definedName>
    <definedName name="sect13.5">#REF!</definedName>
    <definedName name="sect14.1">#REF!</definedName>
    <definedName name="sect14.2">#REF!</definedName>
    <definedName name="sect14.3">#REF!</definedName>
    <definedName name="sect14.4">#REF!</definedName>
    <definedName name="sect15.1">#REF!</definedName>
    <definedName name="sect16.1">#REF!</definedName>
    <definedName name="sect16.2">#REF!</definedName>
    <definedName name="sect16.3">#REF!</definedName>
    <definedName name="sect17.1">#REF!</definedName>
    <definedName name="sect17.2">#REF!</definedName>
    <definedName name="sect17.3">#REF!</definedName>
    <definedName name="sect17.4">#REF!</definedName>
    <definedName name="sect18.1">#REF!</definedName>
    <definedName name="sect18.2">#REF!</definedName>
    <definedName name="sect18.3">#REF!</definedName>
    <definedName name="sect18.4">#REF!</definedName>
    <definedName name="sect18.5">#REF!</definedName>
    <definedName name="sect19.1">#REF!</definedName>
    <definedName name="sect19.2">#REF!</definedName>
    <definedName name="sect19.3">#REF!</definedName>
    <definedName name="sect19.4">#REF!</definedName>
    <definedName name="sect2.1">#REF!</definedName>
    <definedName name="sect2.2">#REF!</definedName>
    <definedName name="sect2.3">#REF!</definedName>
    <definedName name="sect2.4">#REF!</definedName>
    <definedName name="sect20.1">#REF!</definedName>
    <definedName name="sect20.2">#REF!</definedName>
    <definedName name="sect20.3">#REF!</definedName>
    <definedName name="sect20.4">#REF!</definedName>
    <definedName name="sect20.5">#REF!</definedName>
    <definedName name="sect21.1">#REF!</definedName>
    <definedName name="sect21.2">#REF!</definedName>
    <definedName name="sect21.3">#REF!</definedName>
    <definedName name="sect21.4">#REF!</definedName>
    <definedName name="sect22.1">#REF!</definedName>
    <definedName name="sect22.2">#REF!</definedName>
    <definedName name="sect23.1">#REF!</definedName>
    <definedName name="sect23.2">#REF!</definedName>
    <definedName name="sect23.3">#REF!</definedName>
    <definedName name="sect23.4">#REF!</definedName>
    <definedName name="sect23.5">#REF!</definedName>
    <definedName name="sect23.6">#REF!</definedName>
    <definedName name="sect24.1">#REF!</definedName>
    <definedName name="sect24.2">#REF!</definedName>
    <definedName name="sect24.3">#REF!</definedName>
    <definedName name="sect25.1">#REF!</definedName>
    <definedName name="sect25.2">#REF!</definedName>
    <definedName name="sect25.3">#REF!</definedName>
    <definedName name="sect25.4">#REF!</definedName>
    <definedName name="sect26.1">#REF!</definedName>
    <definedName name="sect27.1">#REF!</definedName>
    <definedName name="sect27.2">#REF!</definedName>
    <definedName name="sect27.3">#REF!</definedName>
    <definedName name="sect27.4">#REF!</definedName>
    <definedName name="sect28.1">#REF!</definedName>
    <definedName name="sect28.2">#REF!</definedName>
    <definedName name="sect29.1">#REF!</definedName>
    <definedName name="sect29.2">#REF!</definedName>
    <definedName name="sect29.3">#REF!</definedName>
    <definedName name="sect3.1">#REF!</definedName>
    <definedName name="sect3.2">#REF!</definedName>
    <definedName name="sect3.3">#REF!</definedName>
    <definedName name="sect30.1">#REF!</definedName>
    <definedName name="sect30.2">#REF!</definedName>
    <definedName name="sect30.3">#REF!</definedName>
    <definedName name="sect30.4">#REF!</definedName>
    <definedName name="sect31.1">#REF!</definedName>
    <definedName name="sect31.2">#REF!</definedName>
    <definedName name="sect32.1">#REF!</definedName>
    <definedName name="sect32.2">#REF!</definedName>
    <definedName name="sect32.3">#REF!</definedName>
    <definedName name="sect33.1">#REF!</definedName>
    <definedName name="sect33.2">#REF!</definedName>
    <definedName name="sect33.3">#REF!</definedName>
    <definedName name="sect33.4">#REF!</definedName>
    <definedName name="sect34.1">#REF!</definedName>
    <definedName name="sect34.2">#REF!</definedName>
    <definedName name="sect35.1">#REF!</definedName>
    <definedName name="sect35.2">#REF!</definedName>
    <definedName name="sect35.3">#REF!</definedName>
    <definedName name="sect36.1">#REF!</definedName>
    <definedName name="sect36.2">#REF!</definedName>
    <definedName name="sect36.3">#REF!</definedName>
    <definedName name="sect36.4">#REF!</definedName>
    <definedName name="sect36.5">#REF!</definedName>
    <definedName name="sect37.1">#REF!</definedName>
    <definedName name="sect37.2">#REF!</definedName>
    <definedName name="sect38.1">#REF!</definedName>
    <definedName name="sect38.2">#REF!</definedName>
    <definedName name="sect38.3">#REF!</definedName>
    <definedName name="sect39.1">#REF!</definedName>
    <definedName name="sect39.2">#REF!</definedName>
    <definedName name="sect39.3">#REF!</definedName>
    <definedName name="sect39.4">#REF!</definedName>
    <definedName name="sect39.5">#REF!</definedName>
    <definedName name="sect4.1">#REF!</definedName>
    <definedName name="sect4.2">#REF!</definedName>
    <definedName name="sect4.3">#REF!</definedName>
    <definedName name="sect4.4">#REF!</definedName>
    <definedName name="sect5.1">#REF!</definedName>
    <definedName name="sect6.1">#REF!</definedName>
    <definedName name="sect6.2">#REF!</definedName>
    <definedName name="sect6.3">#REF!</definedName>
    <definedName name="sect6.4">#REF!</definedName>
    <definedName name="sect7.1">#REF!</definedName>
    <definedName name="sect7.2">#REF!</definedName>
    <definedName name="sect7.3">#REF!</definedName>
    <definedName name="sect7.4">#REF!</definedName>
    <definedName name="sect7.5">#REF!</definedName>
    <definedName name="sect8.1">#REF!</definedName>
    <definedName name="sect8.2">#REF!</definedName>
    <definedName name="sect8.3">#REF!</definedName>
    <definedName name="sect8.4">#REF!</definedName>
    <definedName name="sect9.1">#REF!</definedName>
    <definedName name="sect9.2">#REF!</definedName>
    <definedName name="sect9.3">#REF!</definedName>
    <definedName name="sect9.4">#REF!</definedName>
    <definedName name="sect9.5">#REF!</definedName>
    <definedName name="SELECT_INSTITUTION_CODE">[1]Institution_Codes!#REF!</definedName>
    <definedName name="STATE_OWNED_FIN_INST_14010104">[1]PG_18!#REF!</definedName>
    <definedName name="STATE_OWNED_FIN_INST_14010204">[1]PG_18!#REF!</definedName>
    <definedName name="STATE_OWNED_FIN_INST_14010304">[1]PG_18!#REF!</definedName>
    <definedName name="STATE_OWNED_FIN_INST_14010404">[1]PG_18!#REF!</definedName>
    <definedName name="STATE_OWNED_FIN_INST_14010504">[1]PG_18!#REF!</definedName>
    <definedName name="STATE_OWNED_FIN_INST_14020104">[1]PG_18!#REF!</definedName>
    <definedName name="STATE_OWNED_FIN_INST_14020204">[1]PG_18!#REF!</definedName>
    <definedName name="STATE_OWNED_FIN_INST_14020304">[1]PG_18!#REF!</definedName>
    <definedName name="STATE_OWNED_FIN_INST_14030104">[1]PG_18!#REF!</definedName>
    <definedName name="STATUTORY_BOARDS_14010103">[1]PG_18!#REF!</definedName>
    <definedName name="STATUTORY_BOARDS_14010203">[1]PG_18!#REF!</definedName>
    <definedName name="STATUTORY_BOARDS_14010303">[1]PG_18!#REF!</definedName>
    <definedName name="STATUTORY_BOARDS_14010403">[1]PG_18!#REF!</definedName>
    <definedName name="STATUTORY_BOARDS_14010503">[1]PG_18!#REF!</definedName>
    <definedName name="STATUTORY_BOARDS_14020103">[1]PG_18!#REF!</definedName>
    <definedName name="STATUTORY_BOARDS_14020203">[1]PG_18!#REF!</definedName>
    <definedName name="STATUTORY_BOARDS_14020303">[1]PG_18!#REF!</definedName>
    <definedName name="STATUTORY_BOARDS_14030103">[1]PG_18!#REF!</definedName>
    <definedName name="TIME_140103">[1]PG_18!#REF!</definedName>
    <definedName name="TRADE_CONFIRMING_140202">[1]PG_18!#REF!</definedName>
    <definedName name="UNINCORPORATED_BUSINESS_14010109">[1]PG_18!#REF!</definedName>
    <definedName name="UNINCORPORATED_BUSINESS_14010209">[1]PG_18!#REF!</definedName>
    <definedName name="UNINCORPORATED_BUSINESS_14010309">[1]PG_18!#REF!</definedName>
    <definedName name="UNINCORPORATED_BUSINESS_14010409">[1]PG_18!#REF!</definedName>
    <definedName name="UNINCORPORATED_BUSINESS_14010509">[1]PG_18!#REF!</definedName>
    <definedName name="UNINCORPORATED_BUSINESS_14020109">[1]PG_18!#REF!</definedName>
    <definedName name="UNINCORPORATED_BUSINESS_14020209">[1]PG_18!#REF!</definedName>
    <definedName name="UNINCORPORATED_BUSINESS_14020309">[1]PG_18!#REF!</definedName>
    <definedName name="Year" localSheetId="1">[1]Institution_Codes!$H$2:$H$52</definedName>
    <definedName name="year">#REF!</definedName>
    <definedName name="Z_6BAB6937_F4A7_406E_B6D7_F3AB26E9CB76_.wvu.Cols" localSheetId="2" hidden="1">'CBTT Validations'!$F:$F</definedName>
    <definedName name="Z_6BAB6937_F4A7_406E_B6D7_F3AB26E9CB76_.wvu.Cols" localSheetId="13" hidden="1">PAGE9!$G:$G</definedName>
    <definedName name="Z_6BAB6937_F4A7_406E_B6D7_F3AB26E9CB76_.wvu.FilterData" localSheetId="4" hidden="1">ASCII2!$A$3:$A$202</definedName>
    <definedName name="Z_6BAB6937_F4A7_406E_B6D7_F3AB26E9CB76_.wvu.PrintArea" localSheetId="5" hidden="1">PAGE1!$A$1:$Q$100</definedName>
    <definedName name="Z_6BAB6937_F4A7_406E_B6D7_F3AB26E9CB76_.wvu.PrintArea" localSheetId="14" hidden="1">PAGE10!$A$1:$D$20</definedName>
    <definedName name="Z_6BAB6937_F4A7_406E_B6D7_F3AB26E9CB76_.wvu.PrintArea" localSheetId="6" hidden="1">PAGE2!$A$1:$O$109</definedName>
    <definedName name="Z_6BAB6937_F4A7_406E_B6D7_F3AB26E9CB76_.wvu.PrintArea" localSheetId="7" hidden="1">PAGE3!$A$1:$O$60</definedName>
    <definedName name="Z_6BAB6937_F4A7_406E_B6D7_F3AB26E9CB76_.wvu.PrintArea" localSheetId="8" hidden="1">'PAGE4 '!$A$1:$R$68</definedName>
    <definedName name="Z_6BAB6937_F4A7_406E_B6D7_F3AB26E9CB76_.wvu.PrintArea" localSheetId="9" hidden="1">PAGE5!$A$1:$S$114</definedName>
    <definedName name="Z_6BAB6937_F4A7_406E_B6D7_F3AB26E9CB76_.wvu.PrintArea" localSheetId="10" hidden="1">PAGE6!$A$1:$S$113</definedName>
    <definedName name="Z_6BAB6937_F4A7_406E_B6D7_F3AB26E9CB76_.wvu.PrintArea" localSheetId="11" hidden="1">PAGE7!$A$1:$S$37</definedName>
    <definedName name="Z_6BAB6937_F4A7_406E_B6D7_F3AB26E9CB76_.wvu.PrintArea" localSheetId="12" hidden="1">PAGE8!$A$1:$Z$75</definedName>
    <definedName name="Z_6BAB6937_F4A7_406E_B6D7_F3AB26E9CB76_.wvu.PrintArea" localSheetId="13" hidden="1">PAGE9!$A$1:$K$41</definedName>
    <definedName name="Z_6BAB6937_F4A7_406E_B6D7_F3AB26E9CB76_.wvu.PrintTitles" localSheetId="5" hidden="1">PAGE1!$1:$23</definedName>
    <definedName name="Z_6BAB6937_F4A7_406E_B6D7_F3AB26E9CB76_.wvu.PrintTitles" localSheetId="6" hidden="1">PAGE2!$1:$17</definedName>
    <definedName name="Z_6BAB6937_F4A7_406E_B6D7_F3AB26E9CB76_.wvu.PrintTitles" localSheetId="9" hidden="1">PAGE5!$1:$16</definedName>
    <definedName name="Z_6BAB6937_F4A7_406E_B6D7_F3AB26E9CB76_.wvu.PrintTitles" localSheetId="10" hidden="1">PAGE6!$1:$17</definedName>
    <definedName name="Z_6FD7F56A_E857_4CED_A5A1_7DEC8753A8FB_.wvu.Cols" localSheetId="2" hidden="1">'CBTT Validations'!$F:$F</definedName>
    <definedName name="Z_6FD7F56A_E857_4CED_A5A1_7DEC8753A8FB_.wvu.Cols" localSheetId="13" hidden="1">PAGE9!$G:$G</definedName>
    <definedName name="Z_6FD7F56A_E857_4CED_A5A1_7DEC8753A8FB_.wvu.FilterData" localSheetId="4" hidden="1">ASCII2!$A$3:$A$202</definedName>
    <definedName name="Z_6FD7F56A_E857_4CED_A5A1_7DEC8753A8FB_.wvu.PrintArea" localSheetId="5" hidden="1">PAGE1!$A$1:$Q$100</definedName>
    <definedName name="Z_6FD7F56A_E857_4CED_A5A1_7DEC8753A8FB_.wvu.PrintArea" localSheetId="14" hidden="1">PAGE10!$A$1:$D$20</definedName>
    <definedName name="Z_6FD7F56A_E857_4CED_A5A1_7DEC8753A8FB_.wvu.PrintArea" localSheetId="6" hidden="1">PAGE2!$A$1:$O$109</definedName>
    <definedName name="Z_6FD7F56A_E857_4CED_A5A1_7DEC8753A8FB_.wvu.PrintArea" localSheetId="7" hidden="1">PAGE3!$A$1:$O$60</definedName>
    <definedName name="Z_6FD7F56A_E857_4CED_A5A1_7DEC8753A8FB_.wvu.PrintArea" localSheetId="8" hidden="1">'PAGE4 '!$A$1:$R$68</definedName>
    <definedName name="Z_6FD7F56A_E857_4CED_A5A1_7DEC8753A8FB_.wvu.PrintArea" localSheetId="9" hidden="1">PAGE5!$A$1:$S$114</definedName>
    <definedName name="Z_6FD7F56A_E857_4CED_A5A1_7DEC8753A8FB_.wvu.PrintArea" localSheetId="10" hidden="1">PAGE6!$A$1:$S$113</definedName>
    <definedName name="Z_6FD7F56A_E857_4CED_A5A1_7DEC8753A8FB_.wvu.PrintArea" localSheetId="11" hidden="1">PAGE7!$A$1:$S$37</definedName>
    <definedName name="Z_6FD7F56A_E857_4CED_A5A1_7DEC8753A8FB_.wvu.PrintArea" localSheetId="12" hidden="1">PAGE8!$A$1:$Z$75</definedName>
    <definedName name="Z_6FD7F56A_E857_4CED_A5A1_7DEC8753A8FB_.wvu.PrintArea" localSheetId="13" hidden="1">PAGE9!$A$1:$K$41</definedName>
    <definedName name="Z_6FD7F56A_E857_4CED_A5A1_7DEC8753A8FB_.wvu.PrintTitles" localSheetId="5" hidden="1">PAGE1!$1:$23</definedName>
    <definedName name="Z_6FD7F56A_E857_4CED_A5A1_7DEC8753A8FB_.wvu.PrintTitles" localSheetId="6" hidden="1">PAGE2!$1:$17</definedName>
    <definedName name="Z_6FD7F56A_E857_4CED_A5A1_7DEC8753A8FB_.wvu.PrintTitles" localSheetId="9" hidden="1">PAGE5!$1:$16</definedName>
    <definedName name="Z_6FD7F56A_E857_4CED_A5A1_7DEC8753A8FB_.wvu.PrintTitles" localSheetId="10" hidden="1">PAGE6!$1:$17</definedName>
    <definedName name="Z_91D31259_BF8C_4449_A829_EAD5467CE226_.wvu.Cols" localSheetId="2" hidden="1">'CBTT Validations'!$F:$F</definedName>
    <definedName name="Z_91D31259_BF8C_4449_A829_EAD5467CE226_.wvu.Cols" localSheetId="13" hidden="1">PAGE9!$G:$G</definedName>
    <definedName name="Z_91D31259_BF8C_4449_A829_EAD5467CE226_.wvu.FilterData" localSheetId="4" hidden="1">ASCII2!$A$3:$A$202</definedName>
    <definedName name="Z_91D31259_BF8C_4449_A829_EAD5467CE226_.wvu.PrintArea" localSheetId="5" hidden="1">PAGE1!$A$1:$Q$100</definedName>
    <definedName name="Z_91D31259_BF8C_4449_A829_EAD5467CE226_.wvu.PrintArea" localSheetId="14" hidden="1">PAGE10!$A$1:$D$20</definedName>
    <definedName name="Z_91D31259_BF8C_4449_A829_EAD5467CE226_.wvu.PrintArea" localSheetId="6" hidden="1">PAGE2!$A$1:$O$109</definedName>
    <definedName name="Z_91D31259_BF8C_4449_A829_EAD5467CE226_.wvu.PrintArea" localSheetId="7" hidden="1">PAGE3!$A$1:$O$60</definedName>
    <definedName name="Z_91D31259_BF8C_4449_A829_EAD5467CE226_.wvu.PrintArea" localSheetId="8" hidden="1">'PAGE4 '!$A$1:$R$68</definedName>
    <definedName name="Z_91D31259_BF8C_4449_A829_EAD5467CE226_.wvu.PrintArea" localSheetId="9" hidden="1">PAGE5!$A$1:$S$114</definedName>
    <definedName name="Z_91D31259_BF8C_4449_A829_EAD5467CE226_.wvu.PrintArea" localSheetId="10" hidden="1">PAGE6!$A$1:$S$113</definedName>
    <definedName name="Z_91D31259_BF8C_4449_A829_EAD5467CE226_.wvu.PrintArea" localSheetId="11" hidden="1">PAGE7!$A$1:$S$37</definedName>
    <definedName name="Z_91D31259_BF8C_4449_A829_EAD5467CE226_.wvu.PrintArea" localSheetId="12" hidden="1">PAGE8!$A$1:$Z$75</definedName>
    <definedName name="Z_91D31259_BF8C_4449_A829_EAD5467CE226_.wvu.PrintArea" localSheetId="13" hidden="1">PAGE9!$A$1:$K$41</definedName>
    <definedName name="Z_91D31259_BF8C_4449_A829_EAD5467CE226_.wvu.PrintTitles" localSheetId="5" hidden="1">PAGE1!$1:$23</definedName>
    <definedName name="Z_91D31259_BF8C_4449_A829_EAD5467CE226_.wvu.PrintTitles" localSheetId="6" hidden="1">PAGE2!$1:$17</definedName>
    <definedName name="Z_91D31259_BF8C_4449_A829_EAD5467CE226_.wvu.PrintTitles" localSheetId="9" hidden="1">PAGE5!$1:$16</definedName>
    <definedName name="Z_91D31259_BF8C_4449_A829_EAD5467CE226_.wvu.PrintTitles" localSheetId="10" hidden="1">PAGE6!$1:$17</definedName>
  </definedNames>
  <calcPr calcId="191029"/>
  <customWorkbookViews>
    <customWorkbookView name="Richard Butts - Personal View" guid="{6BAB6937-F4A7-406E-B6D7-F3AB26E9CB76}" mergeInterval="0" personalView="1" maximized="1" xWindow="-8" yWindow="-8" windowWidth="1936" windowHeight="1176" tabRatio="727" activeSheetId="3"/>
    <customWorkbookView name="Sherry Ann Persad - Personal View" guid="{6FD7F56A-E857-4CED-A5A1-7DEC8753A8FB}" mergeInterval="0" personalView="1" maximized="1" xWindow="-11" yWindow="-11" windowWidth="1942" windowHeight="1042" tabRatio="727" activeSheetId="3"/>
    <customWorkbookView name="Windell Balgobin - Personal View" guid="{91D31259-BF8C-4449-A829-EAD5467CE226}" mergeInterval="0" personalView="1" maximized="1" xWindow="-11" yWindow="-11" windowWidth="1942" windowHeight="1042" tabRatio="72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B26" i="2" l="1"/>
  <c r="B1229" i="17" l="1"/>
  <c r="B1228" i="17"/>
  <c r="B1226" i="17"/>
  <c r="B1225" i="17"/>
  <c r="B1224" i="17"/>
  <c r="B1223" i="17"/>
  <c r="B1222" i="17"/>
  <c r="B1221" i="17"/>
  <c r="B1220" i="17"/>
  <c r="B1219" i="17"/>
  <c r="B1218" i="17"/>
  <c r="B1217" i="17"/>
  <c r="B1216" i="17"/>
  <c r="B1215" i="17"/>
  <c r="B1214" i="17"/>
  <c r="B1213" i="17"/>
  <c r="B1212" i="17"/>
  <c r="B1211" i="17"/>
  <c r="B1210" i="17"/>
  <c r="B1209" i="17"/>
  <c r="B1208" i="17"/>
  <c r="B1207" i="17"/>
  <c r="B1206" i="17"/>
  <c r="B1205" i="17"/>
  <c r="B1204" i="17"/>
  <c r="B1203" i="17"/>
  <c r="B1202" i="17"/>
  <c r="B1201" i="17"/>
  <c r="B1200" i="17"/>
  <c r="B1199" i="17"/>
  <c r="B1198" i="17"/>
  <c r="B1197" i="17"/>
  <c r="B1196" i="17"/>
  <c r="B1195" i="17"/>
  <c r="B1194" i="17"/>
  <c r="B1193" i="17"/>
  <c r="B1192" i="17"/>
  <c r="B1191" i="17"/>
  <c r="B1190" i="17"/>
  <c r="B1189" i="17"/>
  <c r="B1188" i="17"/>
  <c r="B1187" i="17"/>
  <c r="B1186" i="17"/>
  <c r="B1185" i="17"/>
  <c r="B1184" i="17"/>
  <c r="B1183" i="17"/>
  <c r="B1182" i="17"/>
  <c r="B1181" i="17"/>
  <c r="B1180" i="17"/>
  <c r="B1179" i="17"/>
  <c r="B1178" i="17"/>
  <c r="B1177" i="17"/>
  <c r="B1176" i="17"/>
  <c r="B1175" i="17"/>
  <c r="B1174" i="17"/>
  <c r="B1173" i="17"/>
  <c r="B1172" i="17"/>
  <c r="B1171" i="17"/>
  <c r="B1170" i="17"/>
  <c r="B1169" i="17"/>
  <c r="B1168" i="17"/>
  <c r="B1167" i="17"/>
  <c r="B1166" i="17"/>
  <c r="B1165" i="17"/>
  <c r="B1164" i="17"/>
  <c r="B1163" i="17"/>
  <c r="B1162" i="17"/>
  <c r="B1161" i="17"/>
  <c r="B1160" i="17"/>
  <c r="B1159" i="17"/>
  <c r="B1158" i="17"/>
  <c r="B1157" i="17"/>
  <c r="B1156" i="17"/>
  <c r="B1155" i="17"/>
  <c r="B1154" i="17"/>
  <c r="B1153" i="17"/>
  <c r="B1152" i="17"/>
  <c r="B1151" i="17"/>
  <c r="B1150" i="17"/>
  <c r="B1149" i="17"/>
  <c r="B1148" i="17"/>
  <c r="B1147" i="17"/>
  <c r="B1146" i="17"/>
  <c r="B1145" i="17"/>
  <c r="B1144" i="17"/>
  <c r="B1143" i="17"/>
  <c r="B1142" i="17"/>
  <c r="B1141" i="17"/>
  <c r="B1140" i="17"/>
  <c r="B1139" i="17"/>
  <c r="B1138" i="17"/>
  <c r="B1137" i="17"/>
  <c r="B1136" i="17"/>
  <c r="B1135" i="17"/>
  <c r="B1134" i="17"/>
  <c r="B1133" i="17"/>
  <c r="B1132" i="17"/>
  <c r="B1131" i="17"/>
  <c r="B1130" i="17"/>
  <c r="B1129" i="17"/>
  <c r="B1128" i="17"/>
  <c r="B1127" i="17"/>
  <c r="B1126" i="17"/>
  <c r="B1125" i="17"/>
  <c r="B1124" i="17"/>
  <c r="B1123" i="17"/>
  <c r="B1122" i="17"/>
  <c r="B1121" i="17"/>
  <c r="B1120" i="17"/>
  <c r="B1119" i="17"/>
  <c r="B1118" i="17"/>
  <c r="B1117" i="17"/>
  <c r="B1116" i="17"/>
  <c r="B1115" i="17"/>
  <c r="B1114" i="17"/>
  <c r="B1113" i="17"/>
  <c r="B1112" i="17"/>
  <c r="B1111" i="17"/>
  <c r="B1110" i="17"/>
  <c r="B1109" i="17"/>
  <c r="B1108" i="17"/>
  <c r="B1107" i="17"/>
  <c r="B1106" i="17"/>
  <c r="B1105" i="17"/>
  <c r="B1104" i="17"/>
  <c r="B1103" i="17"/>
  <c r="B1102" i="17"/>
  <c r="B1101" i="17"/>
  <c r="B1100" i="17"/>
  <c r="B1099" i="17"/>
  <c r="B1098" i="17"/>
  <c r="B1097" i="17"/>
  <c r="B1096" i="17"/>
  <c r="B1095" i="17"/>
  <c r="B1094" i="17"/>
  <c r="B1093" i="17"/>
  <c r="B1092" i="17"/>
  <c r="B1091" i="17"/>
  <c r="B1090" i="17"/>
  <c r="B1089" i="17"/>
  <c r="B1088" i="17"/>
  <c r="B1087" i="17"/>
  <c r="B1086" i="17"/>
  <c r="B1085" i="17"/>
  <c r="B1084" i="17"/>
  <c r="B1083" i="17"/>
  <c r="B1082" i="17"/>
  <c r="B1081" i="17"/>
  <c r="B1080" i="17"/>
  <c r="B1079" i="17"/>
  <c r="B1078" i="17"/>
  <c r="B1077" i="17"/>
  <c r="B1076" i="17"/>
  <c r="B1075" i="17"/>
  <c r="B1074" i="17"/>
  <c r="B1073" i="17"/>
  <c r="B1072" i="17"/>
  <c r="B1071" i="17"/>
  <c r="B1070" i="17"/>
  <c r="B1069" i="17"/>
  <c r="B1068" i="17"/>
  <c r="B1067" i="17"/>
  <c r="B1066" i="17"/>
  <c r="B1065" i="17"/>
  <c r="B1064" i="17"/>
  <c r="B1063" i="17"/>
  <c r="B1062" i="17"/>
  <c r="B1061" i="17"/>
  <c r="B1060" i="17"/>
  <c r="B1059" i="17"/>
  <c r="B1058" i="17"/>
  <c r="B1057" i="17"/>
  <c r="B1056" i="17"/>
  <c r="B1055" i="17"/>
  <c r="B1054" i="17"/>
  <c r="B1053" i="17"/>
  <c r="B1052" i="17"/>
  <c r="B1051" i="17"/>
  <c r="B1050" i="17"/>
  <c r="B1049" i="17"/>
  <c r="B1048" i="17"/>
  <c r="B1047" i="17"/>
  <c r="C1039" i="17"/>
  <c r="B1039" i="17"/>
  <c r="C1038" i="17"/>
  <c r="B1038" i="17"/>
  <c r="C1037" i="17"/>
  <c r="B1037" i="17"/>
  <c r="C1035" i="17"/>
  <c r="B1035" i="17"/>
  <c r="C1034" i="17"/>
  <c r="B1034" i="17"/>
  <c r="C1033" i="17"/>
  <c r="B1033" i="17"/>
  <c r="C1031" i="17"/>
  <c r="B1031" i="17"/>
  <c r="C1030" i="17"/>
  <c r="B1030" i="17"/>
  <c r="C1029" i="17"/>
  <c r="B1029" i="17"/>
  <c r="C1027" i="17"/>
  <c r="B1027" i="17"/>
  <c r="C1026" i="17"/>
  <c r="B1026" i="17"/>
  <c r="C1025" i="17"/>
  <c r="B1025" i="17"/>
  <c r="C1023" i="17"/>
  <c r="B1023" i="17"/>
  <c r="C1022" i="17"/>
  <c r="B1022" i="17"/>
  <c r="C1021" i="17"/>
  <c r="B1021" i="17"/>
  <c r="C1019" i="17"/>
  <c r="B1019" i="17"/>
  <c r="C1018" i="17"/>
  <c r="B1018" i="17"/>
  <c r="C1017" i="17"/>
  <c r="B1017" i="17"/>
  <c r="C1015" i="17"/>
  <c r="B1015" i="17"/>
  <c r="C1014" i="17"/>
  <c r="B1014" i="17"/>
  <c r="C1013" i="17"/>
  <c r="B1013" i="17"/>
  <c r="C1011" i="17"/>
  <c r="B1011" i="17"/>
  <c r="C1010" i="17"/>
  <c r="B1010" i="17"/>
  <c r="C1009" i="17"/>
  <c r="B1009" i="17"/>
  <c r="C1007" i="17"/>
  <c r="B1007" i="17"/>
  <c r="C1006" i="17"/>
  <c r="B1006" i="17"/>
  <c r="C1005" i="17"/>
  <c r="B1005" i="17"/>
  <c r="C998" i="17"/>
  <c r="B998" i="17"/>
  <c r="C997" i="17"/>
  <c r="B997" i="17"/>
  <c r="C996" i="17"/>
  <c r="B996" i="17"/>
  <c r="C994" i="17"/>
  <c r="B994" i="17"/>
  <c r="C993" i="17"/>
  <c r="B993" i="17"/>
  <c r="C992" i="17"/>
  <c r="B992" i="17"/>
  <c r="C990" i="17"/>
  <c r="B990" i="17"/>
  <c r="C989" i="17"/>
  <c r="B989" i="17"/>
  <c r="C988" i="17"/>
  <c r="B988" i="17"/>
  <c r="C986" i="17"/>
  <c r="B986" i="17"/>
  <c r="C985" i="17"/>
  <c r="B985" i="17"/>
  <c r="C984" i="17"/>
  <c r="B984" i="17"/>
  <c r="C982" i="17"/>
  <c r="B982" i="17"/>
  <c r="C981" i="17"/>
  <c r="B981" i="17"/>
  <c r="C980" i="17"/>
  <c r="B980" i="17"/>
  <c r="C978" i="17"/>
  <c r="B978" i="17"/>
  <c r="C977" i="17"/>
  <c r="B977" i="17"/>
  <c r="C976" i="17"/>
  <c r="B976" i="17"/>
  <c r="C974" i="17"/>
  <c r="B974" i="17"/>
  <c r="C973" i="17"/>
  <c r="B973" i="17"/>
  <c r="C972" i="17"/>
  <c r="B972" i="17"/>
  <c r="C970" i="17"/>
  <c r="B970" i="17"/>
  <c r="C969" i="17"/>
  <c r="B969" i="17"/>
  <c r="C968" i="17"/>
  <c r="B968" i="17"/>
  <c r="C966" i="17"/>
  <c r="B966" i="17"/>
  <c r="C965" i="17"/>
  <c r="B965" i="17"/>
  <c r="C964" i="17"/>
  <c r="B964" i="17"/>
  <c r="C962" i="17"/>
  <c r="B962" i="17"/>
  <c r="C961" i="17"/>
  <c r="B961" i="17"/>
  <c r="C960" i="17"/>
  <c r="B960" i="17"/>
  <c r="C958" i="17"/>
  <c r="B958" i="17"/>
  <c r="C957" i="17"/>
  <c r="B957" i="17"/>
  <c r="C956" i="17"/>
  <c r="B956" i="17"/>
  <c r="C954" i="17"/>
  <c r="B954" i="17"/>
  <c r="C953" i="17"/>
  <c r="B953" i="17"/>
  <c r="C952" i="17"/>
  <c r="B952" i="17"/>
  <c r="C950" i="17"/>
  <c r="B950" i="17"/>
  <c r="C949" i="17"/>
  <c r="B949" i="17"/>
  <c r="C948" i="17"/>
  <c r="B948" i="17"/>
  <c r="C946" i="17"/>
  <c r="B946" i="17"/>
  <c r="C945" i="17"/>
  <c r="B945" i="17"/>
  <c r="C944" i="17"/>
  <c r="B944" i="17"/>
  <c r="C942" i="17"/>
  <c r="B942" i="17"/>
  <c r="C941" i="17"/>
  <c r="B941" i="17"/>
  <c r="C940" i="17"/>
  <c r="B940" i="17"/>
  <c r="C938" i="17"/>
  <c r="B938" i="17"/>
  <c r="C937" i="17"/>
  <c r="B937" i="17"/>
  <c r="C936" i="17"/>
  <c r="B936" i="17"/>
  <c r="C934" i="17"/>
  <c r="B934" i="17"/>
  <c r="C933" i="17"/>
  <c r="B933" i="17"/>
  <c r="C932" i="17"/>
  <c r="B932" i="17"/>
  <c r="C930" i="17"/>
  <c r="B930" i="17"/>
  <c r="C929" i="17"/>
  <c r="B929" i="17"/>
  <c r="C928" i="17"/>
  <c r="B928" i="17"/>
  <c r="C926" i="17"/>
  <c r="B926" i="17"/>
  <c r="C925" i="17"/>
  <c r="B925" i="17"/>
  <c r="C924" i="17"/>
  <c r="B924" i="17"/>
  <c r="C922" i="17"/>
  <c r="B922" i="17"/>
  <c r="C921" i="17"/>
  <c r="B921" i="17"/>
  <c r="C920" i="17"/>
  <c r="B920" i="17"/>
  <c r="C918" i="17"/>
  <c r="B918" i="17"/>
  <c r="C917" i="17"/>
  <c r="B917" i="17"/>
  <c r="C916" i="17"/>
  <c r="B916" i="17"/>
  <c r="C914" i="17"/>
  <c r="B914" i="17"/>
  <c r="C913" i="17"/>
  <c r="B913" i="17"/>
  <c r="C912" i="17"/>
  <c r="B912" i="17"/>
  <c r="C910" i="17"/>
  <c r="B910" i="17"/>
  <c r="C909" i="17"/>
  <c r="B909" i="17"/>
  <c r="C908" i="17"/>
  <c r="B908" i="17"/>
  <c r="C906" i="17"/>
  <c r="B906" i="17"/>
  <c r="C905" i="17"/>
  <c r="B905" i="17"/>
  <c r="C904" i="17"/>
  <c r="B904" i="17"/>
  <c r="C902" i="17"/>
  <c r="B902" i="17"/>
  <c r="C901" i="17"/>
  <c r="B901" i="17"/>
  <c r="C900" i="17"/>
  <c r="B900" i="17"/>
  <c r="C898" i="17"/>
  <c r="B898" i="17"/>
  <c r="C897" i="17"/>
  <c r="B897" i="17"/>
  <c r="C896" i="17"/>
  <c r="B896" i="17"/>
  <c r="C894" i="17"/>
  <c r="B894" i="17"/>
  <c r="C893" i="17"/>
  <c r="B893" i="17"/>
  <c r="C892" i="17"/>
  <c r="B892" i="17"/>
  <c r="C890" i="17"/>
  <c r="B890" i="17"/>
  <c r="C889" i="17"/>
  <c r="B889" i="17"/>
  <c r="C888" i="17"/>
  <c r="B888" i="17"/>
  <c r="C886" i="17"/>
  <c r="B886" i="17"/>
  <c r="C885" i="17"/>
  <c r="B885" i="17"/>
  <c r="C884" i="17"/>
  <c r="B884" i="17"/>
  <c r="C882" i="17"/>
  <c r="B882" i="17"/>
  <c r="C881" i="17"/>
  <c r="B881" i="17"/>
  <c r="C880" i="17"/>
  <c r="B880" i="17"/>
  <c r="C878" i="17"/>
  <c r="B878" i="17"/>
  <c r="C877" i="17"/>
  <c r="B877" i="17"/>
  <c r="C876" i="17"/>
  <c r="B876" i="17"/>
  <c r="C874" i="17"/>
  <c r="B874" i="17"/>
  <c r="C873" i="17"/>
  <c r="B873" i="17"/>
  <c r="C872" i="17"/>
  <c r="B872" i="17"/>
  <c r="C870" i="17"/>
  <c r="B870" i="17"/>
  <c r="C869" i="17"/>
  <c r="B869" i="17"/>
  <c r="C868" i="17"/>
  <c r="B868" i="17"/>
  <c r="C866" i="17"/>
  <c r="B866" i="17"/>
  <c r="C865" i="17"/>
  <c r="B865" i="17"/>
  <c r="C864" i="17"/>
  <c r="B864" i="17"/>
  <c r="C862" i="17"/>
  <c r="B862" i="17"/>
  <c r="C861" i="17"/>
  <c r="B861" i="17"/>
  <c r="C860" i="17"/>
  <c r="B860" i="17"/>
  <c r="C858" i="17"/>
  <c r="B858" i="17"/>
  <c r="C857" i="17"/>
  <c r="B857" i="17"/>
  <c r="C856" i="17"/>
  <c r="B856" i="17"/>
  <c r="C854" i="17"/>
  <c r="B854" i="17"/>
  <c r="C853" i="17"/>
  <c r="B853" i="17"/>
  <c r="C852" i="17"/>
  <c r="B852" i="17"/>
  <c r="C850" i="17"/>
  <c r="B850" i="17"/>
  <c r="C849" i="17"/>
  <c r="B849" i="17"/>
  <c r="C848" i="17"/>
  <c r="B848" i="17"/>
  <c r="C846" i="17"/>
  <c r="B846" i="17"/>
  <c r="C845" i="17"/>
  <c r="B845" i="17"/>
  <c r="C844" i="17"/>
  <c r="B844" i="17"/>
  <c r="C842" i="17"/>
  <c r="B842" i="17"/>
  <c r="C841" i="17"/>
  <c r="B841" i="17"/>
  <c r="C840" i="17"/>
  <c r="B840" i="17"/>
  <c r="C838" i="17"/>
  <c r="B838" i="17"/>
  <c r="C837" i="17"/>
  <c r="B837" i="17"/>
  <c r="C836" i="17"/>
  <c r="B836" i="17"/>
  <c r="C834" i="17"/>
  <c r="B834" i="17"/>
  <c r="C833" i="17"/>
  <c r="B833" i="17"/>
  <c r="C832" i="17"/>
  <c r="B832" i="17"/>
  <c r="C830" i="17"/>
  <c r="B830" i="17"/>
  <c r="C829" i="17"/>
  <c r="B829" i="17"/>
  <c r="C828" i="17"/>
  <c r="B828" i="17"/>
  <c r="C826" i="17"/>
  <c r="B826" i="17"/>
  <c r="C825" i="17"/>
  <c r="B825" i="17"/>
  <c r="C824" i="17"/>
  <c r="B824" i="17"/>
  <c r="C822" i="17"/>
  <c r="B822" i="17"/>
  <c r="C821" i="17"/>
  <c r="B821" i="17"/>
  <c r="C820" i="17"/>
  <c r="B820" i="17"/>
  <c r="C818" i="17"/>
  <c r="B818" i="17"/>
  <c r="C817" i="17"/>
  <c r="B817" i="17"/>
  <c r="C816" i="17"/>
  <c r="B816" i="17"/>
  <c r="C814" i="17"/>
  <c r="B814" i="17"/>
  <c r="C813" i="17"/>
  <c r="B813" i="17"/>
  <c r="C812" i="17"/>
  <c r="B812" i="17"/>
  <c r="C810" i="17"/>
  <c r="B810" i="17"/>
  <c r="C809" i="17"/>
  <c r="B809" i="17"/>
  <c r="C808" i="17"/>
  <c r="B808" i="17"/>
  <c r="C806" i="17"/>
  <c r="B806" i="17"/>
  <c r="C805" i="17"/>
  <c r="B805" i="17"/>
  <c r="C804" i="17"/>
  <c r="B804" i="17"/>
  <c r="C802" i="17"/>
  <c r="B802" i="17"/>
  <c r="C801" i="17"/>
  <c r="B801" i="17"/>
  <c r="C800" i="17"/>
  <c r="B800" i="17"/>
  <c r="C798" i="17"/>
  <c r="B798" i="17"/>
  <c r="C797" i="17"/>
  <c r="B797" i="17"/>
  <c r="C796" i="17"/>
  <c r="B796" i="17"/>
  <c r="C794" i="17"/>
  <c r="B794" i="17"/>
  <c r="C793" i="17"/>
  <c r="B793" i="17"/>
  <c r="C792" i="17"/>
  <c r="B792" i="17"/>
  <c r="C790" i="17"/>
  <c r="B790" i="17"/>
  <c r="C789" i="17"/>
  <c r="B789" i="17"/>
  <c r="C788" i="17"/>
  <c r="B788" i="17"/>
  <c r="C786" i="17"/>
  <c r="B786" i="17"/>
  <c r="C785" i="17"/>
  <c r="B785" i="17"/>
  <c r="C784" i="17"/>
  <c r="B784" i="17"/>
  <c r="C782" i="17"/>
  <c r="B782" i="17"/>
  <c r="C781" i="17"/>
  <c r="B781" i="17"/>
  <c r="C780" i="17"/>
  <c r="B780" i="17"/>
  <c r="C778" i="17"/>
  <c r="B778" i="17"/>
  <c r="C777" i="17"/>
  <c r="B777" i="17"/>
  <c r="C776" i="17"/>
  <c r="B776" i="17"/>
  <c r="C774" i="17"/>
  <c r="B774" i="17"/>
  <c r="C773" i="17"/>
  <c r="B773" i="17"/>
  <c r="C772" i="17"/>
  <c r="B772" i="17"/>
  <c r="C770" i="17"/>
  <c r="B770" i="17"/>
  <c r="C769" i="17"/>
  <c r="B769" i="17"/>
  <c r="C768" i="17"/>
  <c r="B768" i="17"/>
  <c r="C766" i="17"/>
  <c r="B766" i="17"/>
  <c r="C765" i="17"/>
  <c r="B765" i="17"/>
  <c r="C764" i="17"/>
  <c r="B764" i="17"/>
  <c r="C762" i="17"/>
  <c r="B762" i="17"/>
  <c r="C761" i="17"/>
  <c r="B761" i="17"/>
  <c r="C760" i="17"/>
  <c r="B760" i="17"/>
  <c r="C758" i="17"/>
  <c r="B758" i="17"/>
  <c r="C757" i="17"/>
  <c r="B757" i="17"/>
  <c r="C756" i="17"/>
  <c r="B756" i="17"/>
  <c r="C754" i="17"/>
  <c r="B754" i="17"/>
  <c r="C753" i="17"/>
  <c r="B753" i="17"/>
  <c r="C752" i="17"/>
  <c r="B752" i="17"/>
  <c r="C750" i="17"/>
  <c r="B750" i="17"/>
  <c r="C749" i="17"/>
  <c r="B749" i="17"/>
  <c r="C748" i="17"/>
  <c r="B748" i="17"/>
  <c r="C746" i="17"/>
  <c r="B746" i="17"/>
  <c r="C745" i="17"/>
  <c r="B745" i="17"/>
  <c r="C744" i="17"/>
  <c r="B744" i="17"/>
  <c r="C742" i="17"/>
  <c r="B742" i="17"/>
  <c r="C741" i="17"/>
  <c r="B741" i="17"/>
  <c r="C740" i="17"/>
  <c r="B740" i="17"/>
  <c r="C738" i="17"/>
  <c r="B738" i="17"/>
  <c r="C737" i="17"/>
  <c r="B737" i="17"/>
  <c r="C736" i="17"/>
  <c r="B736" i="17"/>
  <c r="C734" i="17"/>
  <c r="B734" i="17"/>
  <c r="C733" i="17"/>
  <c r="B733" i="17"/>
  <c r="C732" i="17"/>
  <c r="B732" i="17"/>
  <c r="C730" i="17"/>
  <c r="B730" i="17"/>
  <c r="C729" i="17"/>
  <c r="B729" i="17"/>
  <c r="C728" i="17"/>
  <c r="B728" i="17"/>
  <c r="C726" i="17"/>
  <c r="B726" i="17"/>
  <c r="C725" i="17"/>
  <c r="B725" i="17"/>
  <c r="C724" i="17"/>
  <c r="B724" i="17"/>
  <c r="C722" i="17"/>
  <c r="B722" i="17"/>
  <c r="C721" i="17"/>
  <c r="B721" i="17"/>
  <c r="C720" i="17"/>
  <c r="B720" i="17"/>
  <c r="C713" i="17"/>
  <c r="B713" i="17"/>
  <c r="C712" i="17"/>
  <c r="B712" i="17"/>
  <c r="C711" i="17"/>
  <c r="B711" i="17"/>
  <c r="C709" i="17"/>
  <c r="B709" i="17"/>
  <c r="C708" i="17"/>
  <c r="B708" i="17"/>
  <c r="C707" i="17"/>
  <c r="B707" i="17"/>
  <c r="C705" i="17"/>
  <c r="B705" i="17"/>
  <c r="C704" i="17"/>
  <c r="B704" i="17"/>
  <c r="C703" i="17"/>
  <c r="B703" i="17"/>
  <c r="C701" i="17"/>
  <c r="B701" i="17"/>
  <c r="C700" i="17"/>
  <c r="B700" i="17"/>
  <c r="C699" i="17"/>
  <c r="B699" i="17"/>
  <c r="C697" i="17"/>
  <c r="B697" i="17"/>
  <c r="C696" i="17"/>
  <c r="B696" i="17"/>
  <c r="C695" i="17"/>
  <c r="B695" i="17"/>
  <c r="C693" i="17"/>
  <c r="B693" i="17"/>
  <c r="C692" i="17"/>
  <c r="B692" i="17"/>
  <c r="C691" i="17"/>
  <c r="B691" i="17"/>
  <c r="C689" i="17"/>
  <c r="B689" i="17"/>
  <c r="C688" i="17"/>
  <c r="B688" i="17"/>
  <c r="C687" i="17"/>
  <c r="B687" i="17"/>
  <c r="C685" i="17"/>
  <c r="B685" i="17"/>
  <c r="C684" i="17"/>
  <c r="B684" i="17"/>
  <c r="C683" i="17"/>
  <c r="B683" i="17"/>
  <c r="C681" i="17"/>
  <c r="B681" i="17"/>
  <c r="C680" i="17"/>
  <c r="B680" i="17"/>
  <c r="C679" i="17"/>
  <c r="B679" i="17"/>
  <c r="C677" i="17"/>
  <c r="B677" i="17"/>
  <c r="C676" i="17"/>
  <c r="B676" i="17"/>
  <c r="C675" i="17"/>
  <c r="B675" i="17"/>
  <c r="C673" i="17"/>
  <c r="B673" i="17"/>
  <c r="C672" i="17"/>
  <c r="B672" i="17"/>
  <c r="C671" i="17"/>
  <c r="B671" i="17"/>
  <c r="C669" i="17"/>
  <c r="B669" i="17"/>
  <c r="C668" i="17"/>
  <c r="B668" i="17"/>
  <c r="C667" i="17"/>
  <c r="B667" i="17"/>
  <c r="C665" i="17"/>
  <c r="B665" i="17"/>
  <c r="C664" i="17"/>
  <c r="B664" i="17"/>
  <c r="C663" i="17"/>
  <c r="B663" i="17"/>
  <c r="C661" i="17"/>
  <c r="B661" i="17"/>
  <c r="C660" i="17"/>
  <c r="B660" i="17"/>
  <c r="C659" i="17"/>
  <c r="B659" i="17"/>
  <c r="C657" i="17"/>
  <c r="B657" i="17"/>
  <c r="C656" i="17"/>
  <c r="B656" i="17"/>
  <c r="C655" i="17"/>
  <c r="B655" i="17"/>
  <c r="C653" i="17"/>
  <c r="B653" i="17"/>
  <c r="C652" i="17"/>
  <c r="B652" i="17"/>
  <c r="C651" i="17"/>
  <c r="B651" i="17"/>
  <c r="C649" i="17"/>
  <c r="B649" i="17"/>
  <c r="C648" i="17"/>
  <c r="B648" i="17"/>
  <c r="C647" i="17"/>
  <c r="B647" i="17"/>
  <c r="C645" i="17"/>
  <c r="B645" i="17"/>
  <c r="C644" i="17"/>
  <c r="B644" i="17"/>
  <c r="C643" i="17"/>
  <c r="B643" i="17"/>
  <c r="C641" i="17"/>
  <c r="B641" i="17"/>
  <c r="C640" i="17"/>
  <c r="B640" i="17"/>
  <c r="C639" i="17"/>
  <c r="B639" i="17"/>
  <c r="C637" i="17"/>
  <c r="B637" i="17"/>
  <c r="C636" i="17"/>
  <c r="B636" i="17"/>
  <c r="C635" i="17"/>
  <c r="B635" i="17"/>
  <c r="C633" i="17"/>
  <c r="B633" i="17"/>
  <c r="C632" i="17"/>
  <c r="B632" i="17"/>
  <c r="C631" i="17"/>
  <c r="B631" i="17"/>
  <c r="C629" i="17"/>
  <c r="B629" i="17"/>
  <c r="C628" i="17"/>
  <c r="B628" i="17"/>
  <c r="C627" i="17"/>
  <c r="B627" i="17"/>
  <c r="C625" i="17"/>
  <c r="B625" i="17"/>
  <c r="C624" i="17"/>
  <c r="B624" i="17"/>
  <c r="C623" i="17"/>
  <c r="B623" i="17"/>
  <c r="C621" i="17"/>
  <c r="B621" i="17"/>
  <c r="C620" i="17"/>
  <c r="B620" i="17"/>
  <c r="C619" i="17"/>
  <c r="B619" i="17"/>
  <c r="C617" i="17"/>
  <c r="B617" i="17"/>
  <c r="C616" i="17"/>
  <c r="B616" i="17"/>
  <c r="C615" i="17"/>
  <c r="B615" i="17"/>
  <c r="C613" i="17"/>
  <c r="B613" i="17"/>
  <c r="C612" i="17"/>
  <c r="B612" i="17"/>
  <c r="C611" i="17"/>
  <c r="B611" i="17"/>
  <c r="C609" i="17"/>
  <c r="B609" i="17"/>
  <c r="C608" i="17"/>
  <c r="B608" i="17"/>
  <c r="C607" i="17"/>
  <c r="B607" i="17"/>
  <c r="C605" i="17"/>
  <c r="B605" i="17"/>
  <c r="C604" i="17"/>
  <c r="B604" i="17"/>
  <c r="C603" i="17"/>
  <c r="B603" i="17"/>
  <c r="C601" i="17"/>
  <c r="B601" i="17"/>
  <c r="C600" i="17"/>
  <c r="B600" i="17"/>
  <c r="C599" i="17"/>
  <c r="B599" i="17"/>
  <c r="C597" i="17"/>
  <c r="B597" i="17"/>
  <c r="C596" i="17"/>
  <c r="B596" i="17"/>
  <c r="C595" i="17"/>
  <c r="B595" i="17"/>
  <c r="C593" i="17"/>
  <c r="B593" i="17"/>
  <c r="C592" i="17"/>
  <c r="B592" i="17"/>
  <c r="C591" i="17"/>
  <c r="B591" i="17"/>
  <c r="C589" i="17"/>
  <c r="B589" i="17"/>
  <c r="C588" i="17"/>
  <c r="B588" i="17"/>
  <c r="C587" i="17"/>
  <c r="B587" i="17"/>
  <c r="C585" i="17"/>
  <c r="B585" i="17"/>
  <c r="C584" i="17"/>
  <c r="B584" i="17"/>
  <c r="C583" i="17"/>
  <c r="B583" i="17"/>
  <c r="C581" i="17"/>
  <c r="B581" i="17"/>
  <c r="C580" i="17"/>
  <c r="B580" i="17"/>
  <c r="C579" i="17"/>
  <c r="B579" i="17"/>
  <c r="C577" i="17"/>
  <c r="B577" i="17"/>
  <c r="C576" i="17"/>
  <c r="B576" i="17"/>
  <c r="C575" i="17"/>
  <c r="B575" i="17"/>
  <c r="C573" i="17"/>
  <c r="B573" i="17"/>
  <c r="C572" i="17"/>
  <c r="B572" i="17"/>
  <c r="C571" i="17"/>
  <c r="B571" i="17"/>
  <c r="C569" i="17"/>
  <c r="B569" i="17"/>
  <c r="C568" i="17"/>
  <c r="B568" i="17"/>
  <c r="C567" i="17"/>
  <c r="B567" i="17"/>
  <c r="C565" i="17"/>
  <c r="B565" i="17"/>
  <c r="C564" i="17"/>
  <c r="B564" i="17"/>
  <c r="C563" i="17"/>
  <c r="B563" i="17"/>
  <c r="C561" i="17"/>
  <c r="B561" i="17"/>
  <c r="C560" i="17"/>
  <c r="B560" i="17"/>
  <c r="C559" i="17"/>
  <c r="B559" i="17"/>
  <c r="C557" i="17"/>
  <c r="B557" i="17"/>
  <c r="C556" i="17"/>
  <c r="B556" i="17"/>
  <c r="C555" i="17"/>
  <c r="B555" i="17"/>
  <c r="C553" i="17"/>
  <c r="B553" i="17"/>
  <c r="C552" i="17"/>
  <c r="B552" i="17"/>
  <c r="C551" i="17"/>
  <c r="B551" i="17"/>
  <c r="C549" i="17"/>
  <c r="B549" i="17"/>
  <c r="C548" i="17"/>
  <c r="B548" i="17"/>
  <c r="C547" i="17"/>
  <c r="B547" i="17"/>
  <c r="C545" i="17"/>
  <c r="B545" i="17"/>
  <c r="C544" i="17"/>
  <c r="B544" i="17"/>
  <c r="C543" i="17"/>
  <c r="B543" i="17"/>
  <c r="C541" i="17"/>
  <c r="B541" i="17"/>
  <c r="C540" i="17"/>
  <c r="B540" i="17"/>
  <c r="C539" i="17"/>
  <c r="B539" i="17"/>
  <c r="C537" i="17"/>
  <c r="B537" i="17"/>
  <c r="C536" i="17"/>
  <c r="B536" i="17"/>
  <c r="C535" i="17"/>
  <c r="B535" i="17"/>
  <c r="C533" i="17"/>
  <c r="B533" i="17"/>
  <c r="C532" i="17"/>
  <c r="B532" i="17"/>
  <c r="C531" i="17"/>
  <c r="B531" i="17"/>
  <c r="C529" i="17"/>
  <c r="B529" i="17"/>
  <c r="C528" i="17"/>
  <c r="B528" i="17"/>
  <c r="C527" i="17"/>
  <c r="B527" i="17"/>
  <c r="C525" i="17"/>
  <c r="B525" i="17"/>
  <c r="C524" i="17"/>
  <c r="B524" i="17"/>
  <c r="C523" i="17"/>
  <c r="B523" i="17"/>
  <c r="C521" i="17"/>
  <c r="B521" i="17"/>
  <c r="C520" i="17"/>
  <c r="B520" i="17"/>
  <c r="C519" i="17"/>
  <c r="B519" i="17"/>
  <c r="C517" i="17"/>
  <c r="B517" i="17"/>
  <c r="C516" i="17"/>
  <c r="B516" i="17"/>
  <c r="C515" i="17"/>
  <c r="B515" i="17"/>
  <c r="C513" i="17"/>
  <c r="B513" i="17"/>
  <c r="C512" i="17"/>
  <c r="B512" i="17"/>
  <c r="C511" i="17"/>
  <c r="B511" i="17"/>
  <c r="C509" i="17"/>
  <c r="B509" i="17"/>
  <c r="C508" i="17"/>
  <c r="B508" i="17"/>
  <c r="C507" i="17"/>
  <c r="B507" i="17"/>
  <c r="C505" i="17"/>
  <c r="B505" i="17"/>
  <c r="C504" i="17"/>
  <c r="B504" i="17"/>
  <c r="C503" i="17"/>
  <c r="B503" i="17"/>
  <c r="C501" i="17"/>
  <c r="B501" i="17"/>
  <c r="C500" i="17"/>
  <c r="B500" i="17"/>
  <c r="C499" i="17"/>
  <c r="B499" i="17"/>
  <c r="C497" i="17"/>
  <c r="B497" i="17"/>
  <c r="C496" i="17"/>
  <c r="B496" i="17"/>
  <c r="C495" i="17"/>
  <c r="B495" i="17"/>
  <c r="C493" i="17"/>
  <c r="B493" i="17"/>
  <c r="C492" i="17"/>
  <c r="B492" i="17"/>
  <c r="C491" i="17"/>
  <c r="B491" i="17"/>
  <c r="C489" i="17"/>
  <c r="B489" i="17"/>
  <c r="C488" i="17"/>
  <c r="B488" i="17"/>
  <c r="C487" i="17"/>
  <c r="B487" i="17"/>
  <c r="C485" i="17"/>
  <c r="B485" i="17"/>
  <c r="C484" i="17"/>
  <c r="B484" i="17"/>
  <c r="C483" i="17"/>
  <c r="B483" i="17"/>
  <c r="C481" i="17"/>
  <c r="B481" i="17"/>
  <c r="C480" i="17"/>
  <c r="B480" i="17"/>
  <c r="C479" i="17"/>
  <c r="B479" i="17"/>
  <c r="C477" i="17"/>
  <c r="B477" i="17"/>
  <c r="C476" i="17"/>
  <c r="B476" i="17"/>
  <c r="C475" i="17"/>
  <c r="B475" i="17"/>
  <c r="C473" i="17"/>
  <c r="B473" i="17"/>
  <c r="C472" i="17"/>
  <c r="B472" i="17"/>
  <c r="C471" i="17"/>
  <c r="B471" i="17"/>
  <c r="C469" i="17"/>
  <c r="B469" i="17"/>
  <c r="C468" i="17"/>
  <c r="B468" i="17"/>
  <c r="C467" i="17"/>
  <c r="B467" i="17"/>
  <c r="C465" i="17"/>
  <c r="B465" i="17"/>
  <c r="C464" i="17"/>
  <c r="B464" i="17"/>
  <c r="C463" i="17"/>
  <c r="B463" i="17"/>
  <c r="C461" i="17"/>
  <c r="B461" i="17"/>
  <c r="C460" i="17"/>
  <c r="B460" i="17"/>
  <c r="C459" i="17"/>
  <c r="B459" i="17"/>
  <c r="C457" i="17"/>
  <c r="B457" i="17"/>
  <c r="C456" i="17"/>
  <c r="B456" i="17"/>
  <c r="C455" i="17"/>
  <c r="B455" i="17"/>
  <c r="C453" i="17"/>
  <c r="B453" i="17"/>
  <c r="C452" i="17"/>
  <c r="B452" i="17"/>
  <c r="C451" i="17"/>
  <c r="B451" i="17"/>
  <c r="C449" i="17"/>
  <c r="B449" i="17"/>
  <c r="C448" i="17"/>
  <c r="B448" i="17"/>
  <c r="C447" i="17"/>
  <c r="B447" i="17"/>
  <c r="C445" i="17"/>
  <c r="B445" i="17"/>
  <c r="C444" i="17"/>
  <c r="B444" i="17"/>
  <c r="C443" i="17"/>
  <c r="B443" i="17"/>
  <c r="C441" i="17"/>
  <c r="B441" i="17"/>
  <c r="C440" i="17"/>
  <c r="B440" i="17"/>
  <c r="C439" i="17"/>
  <c r="B439" i="17"/>
  <c r="C437" i="17"/>
  <c r="B437" i="17"/>
  <c r="C436" i="17"/>
  <c r="B436" i="17"/>
  <c r="C435" i="17"/>
  <c r="B435" i="17"/>
  <c r="B433" i="17"/>
  <c r="B432" i="17"/>
  <c r="B431" i="17"/>
  <c r="B430" i="17"/>
  <c r="B429" i="17"/>
  <c r="B428" i="17"/>
  <c r="B427" i="17"/>
  <c r="B425" i="17"/>
  <c r="B424" i="17"/>
  <c r="C422" i="17"/>
  <c r="B422" i="17"/>
  <c r="C421" i="17"/>
  <c r="B421" i="17"/>
  <c r="C420" i="17"/>
  <c r="B420" i="17"/>
  <c r="C419" i="17"/>
  <c r="B419" i="17"/>
  <c r="C418" i="17"/>
  <c r="B418" i="17"/>
  <c r="C417" i="17"/>
  <c r="B417" i="17"/>
  <c r="C416" i="17"/>
  <c r="B416" i="17"/>
  <c r="C415" i="17"/>
  <c r="B415" i="17"/>
  <c r="C414" i="17"/>
  <c r="B414" i="17"/>
  <c r="C413" i="17"/>
  <c r="B413" i="17"/>
  <c r="C412" i="17"/>
  <c r="B412" i="17"/>
  <c r="C411" i="17"/>
  <c r="B411" i="17"/>
  <c r="C410" i="17"/>
  <c r="B410" i="17"/>
  <c r="C402" i="17"/>
  <c r="B402" i="17"/>
  <c r="C401" i="17"/>
  <c r="B401" i="17"/>
  <c r="C400" i="17"/>
  <c r="B400" i="17"/>
  <c r="C399" i="17"/>
  <c r="B399" i="17"/>
  <c r="C398" i="17"/>
  <c r="B398" i="17"/>
  <c r="C397" i="17"/>
  <c r="B397" i="17"/>
  <c r="C396" i="17"/>
  <c r="B396" i="17"/>
  <c r="C395" i="17"/>
  <c r="B395" i="17"/>
  <c r="C394" i="17"/>
  <c r="B394" i="17"/>
  <c r="C393" i="17"/>
  <c r="B393" i="17"/>
  <c r="C392" i="17"/>
  <c r="B392" i="17"/>
  <c r="C391" i="17"/>
  <c r="B391" i="17"/>
  <c r="C390" i="17"/>
  <c r="B390" i="17"/>
  <c r="C389" i="17"/>
  <c r="B389" i="17"/>
  <c r="C388" i="17"/>
  <c r="B388" i="17"/>
  <c r="C387" i="17"/>
  <c r="B387" i="17"/>
  <c r="C386" i="17"/>
  <c r="B386" i="17"/>
  <c r="C385" i="17"/>
  <c r="B385" i="17"/>
  <c r="C384" i="17"/>
  <c r="B384" i="17"/>
  <c r="C383" i="17"/>
  <c r="B383" i="17"/>
  <c r="C382" i="17"/>
  <c r="B382" i="17"/>
  <c r="C381" i="17"/>
  <c r="B381" i="17"/>
  <c r="C380" i="17"/>
  <c r="B380" i="17"/>
  <c r="C379" i="17"/>
  <c r="B379" i="17"/>
  <c r="C378" i="17"/>
  <c r="B378" i="17"/>
  <c r="C377" i="17"/>
  <c r="B377" i="17"/>
  <c r="C376" i="17"/>
  <c r="B376" i="17"/>
  <c r="C375" i="17"/>
  <c r="B375" i="17"/>
  <c r="C374" i="17"/>
  <c r="B374" i="17"/>
  <c r="C373" i="17"/>
  <c r="B373" i="17"/>
  <c r="C372" i="17"/>
  <c r="B372" i="17"/>
  <c r="C371" i="17"/>
  <c r="B371" i="17"/>
  <c r="C370" i="17"/>
  <c r="B370" i="17"/>
  <c r="C369" i="17"/>
  <c r="B369" i="17"/>
  <c r="C368" i="17"/>
  <c r="B368" i="17"/>
  <c r="C367" i="17"/>
  <c r="B367" i="17"/>
  <c r="C366" i="17"/>
  <c r="B366" i="17"/>
  <c r="C365" i="17"/>
  <c r="B365" i="17"/>
  <c r="C364" i="17"/>
  <c r="B364" i="17"/>
  <c r="C363" i="17"/>
  <c r="B363" i="17"/>
  <c r="C362" i="17"/>
  <c r="B362" i="17"/>
  <c r="C361" i="17"/>
  <c r="B361" i="17"/>
  <c r="C360" i="17"/>
  <c r="B360" i="17"/>
  <c r="C359" i="17"/>
  <c r="B359" i="17"/>
  <c r="C358" i="17"/>
  <c r="B358" i="17"/>
  <c r="C357" i="17"/>
  <c r="B357" i="17"/>
  <c r="C356" i="17"/>
  <c r="B356" i="17"/>
  <c r="C355" i="17"/>
  <c r="B355" i="17"/>
  <c r="C354" i="17"/>
  <c r="B354" i="17"/>
  <c r="C353" i="17"/>
  <c r="B353" i="17"/>
  <c r="C352" i="17"/>
  <c r="B352" i="17"/>
  <c r="C351" i="17"/>
  <c r="B351" i="17"/>
  <c r="C350" i="17"/>
  <c r="B350" i="17"/>
  <c r="C349" i="17"/>
  <c r="B349" i="17"/>
  <c r="C348" i="17"/>
  <c r="B348" i="17"/>
  <c r="C347" i="17"/>
  <c r="B347" i="17"/>
  <c r="C343" i="17"/>
  <c r="B343" i="17"/>
  <c r="C342" i="17"/>
  <c r="B342" i="17"/>
  <c r="C341" i="17"/>
  <c r="B341" i="17"/>
  <c r="C340" i="17"/>
  <c r="B340" i="17"/>
  <c r="C339" i="17"/>
  <c r="B339" i="17"/>
  <c r="C338" i="17"/>
  <c r="B338" i="17"/>
  <c r="C337" i="17"/>
  <c r="B337" i="17"/>
  <c r="C336" i="17"/>
  <c r="B336" i="17"/>
  <c r="C335" i="17"/>
  <c r="B335" i="17"/>
  <c r="C334" i="17"/>
  <c r="B334" i="17"/>
  <c r="C333" i="17"/>
  <c r="B333" i="17"/>
  <c r="C332" i="17"/>
  <c r="B332" i="17"/>
  <c r="C331" i="17"/>
  <c r="B331" i="17"/>
  <c r="C330" i="17"/>
  <c r="B330" i="17"/>
  <c r="C329" i="17"/>
  <c r="B329" i="17"/>
  <c r="C328" i="17"/>
  <c r="B328" i="17"/>
  <c r="C327" i="17"/>
  <c r="B327" i="17"/>
  <c r="C326" i="17"/>
  <c r="B326" i="17"/>
  <c r="C325" i="17"/>
  <c r="B325" i="17"/>
  <c r="C324" i="17"/>
  <c r="B324" i="17"/>
  <c r="C323" i="17"/>
  <c r="B323" i="17"/>
  <c r="C322" i="17"/>
  <c r="B322" i="17"/>
  <c r="C321" i="17"/>
  <c r="B321" i="17"/>
  <c r="C320" i="17"/>
  <c r="B320" i="17"/>
  <c r="C319" i="17"/>
  <c r="B319" i="17"/>
  <c r="C318" i="17"/>
  <c r="B318" i="17"/>
  <c r="C317" i="17"/>
  <c r="B317" i="17"/>
  <c r="C316" i="17"/>
  <c r="B316" i="17"/>
  <c r="C315" i="17"/>
  <c r="B315" i="17"/>
  <c r="C314" i="17"/>
  <c r="B314" i="17"/>
  <c r="C313" i="17"/>
  <c r="B313" i="17"/>
  <c r="C312" i="17"/>
  <c r="B312" i="17"/>
  <c r="C311" i="17"/>
  <c r="B311" i="17"/>
  <c r="C310" i="17"/>
  <c r="B310" i="17"/>
  <c r="C309" i="17"/>
  <c r="B309" i="17"/>
  <c r="C308" i="17"/>
  <c r="B308" i="17"/>
  <c r="C307" i="17"/>
  <c r="B307" i="17"/>
  <c r="C306" i="17"/>
  <c r="B306" i="17"/>
  <c r="C305" i="17"/>
  <c r="B305" i="17"/>
  <c r="C304" i="17"/>
  <c r="B304" i="17"/>
  <c r="C303" i="17"/>
  <c r="B303" i="17"/>
  <c r="C302" i="17"/>
  <c r="B302" i="17"/>
  <c r="C301" i="17"/>
  <c r="B301" i="17"/>
  <c r="C300" i="17"/>
  <c r="B300" i="17"/>
  <c r="C299" i="17"/>
  <c r="B299" i="17"/>
  <c r="C298" i="17"/>
  <c r="B298" i="17"/>
  <c r="C297" i="17"/>
  <c r="B297" i="17"/>
  <c r="C296" i="17"/>
  <c r="B296" i="17"/>
  <c r="C295" i="17"/>
  <c r="B295" i="17"/>
  <c r="C294" i="17"/>
  <c r="B294" i="17"/>
  <c r="C293" i="17"/>
  <c r="B293" i="17"/>
  <c r="C292" i="17"/>
  <c r="B292" i="17"/>
  <c r="C291" i="17"/>
  <c r="B291" i="17"/>
  <c r="C290" i="17"/>
  <c r="B290" i="17"/>
  <c r="C289" i="17"/>
  <c r="B289" i="17"/>
  <c r="C288" i="17"/>
  <c r="B288" i="17"/>
  <c r="C287" i="17"/>
  <c r="B287" i="17"/>
  <c r="C286" i="17"/>
  <c r="B286" i="17"/>
  <c r="C285" i="17"/>
  <c r="B285" i="17"/>
  <c r="C284" i="17"/>
  <c r="B284" i="17"/>
  <c r="C283" i="17"/>
  <c r="B283" i="17"/>
  <c r="C282" i="17"/>
  <c r="B282" i="17"/>
  <c r="C281" i="17"/>
  <c r="B281" i="17"/>
  <c r="C280" i="17"/>
  <c r="B280" i="17"/>
  <c r="C279" i="17"/>
  <c r="B279" i="17"/>
  <c r="C278" i="17"/>
  <c r="B278" i="17"/>
  <c r="C277" i="17"/>
  <c r="B277" i="17"/>
  <c r="C276" i="17"/>
  <c r="B276" i="17"/>
  <c r="C275" i="17"/>
  <c r="B275" i="17"/>
  <c r="C274" i="17"/>
  <c r="B274" i="17"/>
  <c r="C273" i="17"/>
  <c r="B273" i="17"/>
  <c r="C272" i="17"/>
  <c r="B272" i="17"/>
  <c r="C271" i="17"/>
  <c r="B271" i="17"/>
  <c r="C270" i="17"/>
  <c r="B270" i="17"/>
  <c r="C269" i="17"/>
  <c r="B269" i="17"/>
  <c r="C268" i="17"/>
  <c r="B268" i="17"/>
  <c r="C267" i="17"/>
  <c r="B267" i="17"/>
  <c r="C266" i="17"/>
  <c r="B266" i="17"/>
  <c r="C265" i="17"/>
  <c r="B265" i="17"/>
  <c r="C264" i="17"/>
  <c r="B264" i="17"/>
  <c r="C263" i="17"/>
  <c r="B263" i="17"/>
  <c r="C262" i="17"/>
  <c r="B262" i="17"/>
  <c r="C261" i="17"/>
  <c r="B261" i="17"/>
  <c r="C260" i="17"/>
  <c r="B260" i="17"/>
  <c r="C259" i="17"/>
  <c r="B259" i="17"/>
  <c r="C258" i="17"/>
  <c r="B258" i="17"/>
  <c r="C257" i="17"/>
  <c r="B257" i="17"/>
  <c r="C256" i="17"/>
  <c r="B256" i="17"/>
  <c r="C255" i="17"/>
  <c r="B255" i="17"/>
  <c r="C254" i="17"/>
  <c r="B254" i="17"/>
  <c r="C253" i="17"/>
  <c r="B253" i="17"/>
  <c r="C252" i="17"/>
  <c r="B252" i="17"/>
  <c r="C251" i="17"/>
  <c r="B251" i="17"/>
  <c r="C250" i="17"/>
  <c r="B250" i="17"/>
  <c r="C249" i="17"/>
  <c r="B249" i="17"/>
  <c r="C248" i="17"/>
  <c r="B248" i="17"/>
  <c r="C247" i="17"/>
  <c r="B247" i="17"/>
  <c r="C246" i="17"/>
  <c r="B246" i="17"/>
  <c r="C245" i="17"/>
  <c r="B245" i="17"/>
  <c r="C244" i="17"/>
  <c r="B244" i="17"/>
  <c r="C243" i="17"/>
  <c r="B243" i="17"/>
  <c r="C242" i="17"/>
  <c r="B242" i="17"/>
  <c r="C241" i="17"/>
  <c r="B241" i="17"/>
  <c r="C240" i="17"/>
  <c r="B240" i="17"/>
  <c r="C239" i="17"/>
  <c r="B239" i="17"/>
  <c r="C238" i="17"/>
  <c r="B238" i="17"/>
  <c r="C237" i="17"/>
  <c r="B237" i="17"/>
  <c r="C236" i="17"/>
  <c r="B236" i="17"/>
  <c r="C235" i="17"/>
  <c r="B235" i="17"/>
  <c r="C234" i="17"/>
  <c r="B234" i="17"/>
  <c r="C233" i="17"/>
  <c r="B233" i="17"/>
  <c r="C232" i="17"/>
  <c r="B232" i="17"/>
  <c r="C231" i="17"/>
  <c r="B231" i="17"/>
  <c r="C230" i="17"/>
  <c r="B230" i="17"/>
  <c r="C229" i="17"/>
  <c r="B229" i="17"/>
  <c r="C228" i="17"/>
  <c r="B228" i="17"/>
  <c r="C227" i="17"/>
  <c r="B227" i="17"/>
  <c r="C226" i="17"/>
  <c r="B226" i="17"/>
  <c r="C225" i="17"/>
  <c r="B225" i="17"/>
  <c r="C224" i="17"/>
  <c r="B224" i="17"/>
  <c r="C223" i="17"/>
  <c r="B223" i="17"/>
  <c r="C222" i="17"/>
  <c r="B222" i="17"/>
  <c r="C221" i="17"/>
  <c r="B221" i="17"/>
  <c r="C220" i="17"/>
  <c r="B220" i="17"/>
  <c r="C219" i="17"/>
  <c r="B219" i="17"/>
  <c r="C218" i="17"/>
  <c r="B218" i="17"/>
  <c r="C217" i="17"/>
  <c r="B217" i="17"/>
  <c r="C216" i="17"/>
  <c r="B216" i="17"/>
  <c r="C215" i="17"/>
  <c r="B215" i="17"/>
  <c r="C214" i="17"/>
  <c r="B214" i="17"/>
  <c r="C213" i="17"/>
  <c r="B213" i="17"/>
  <c r="C212" i="17"/>
  <c r="B212" i="17"/>
  <c r="C211" i="17"/>
  <c r="B211" i="17"/>
  <c r="C210" i="17"/>
  <c r="B210" i="17"/>
  <c r="C209" i="17"/>
  <c r="B209" i="17"/>
  <c r="C208" i="17"/>
  <c r="B208" i="17"/>
  <c r="C207" i="17"/>
  <c r="B207" i="17"/>
  <c r="C206" i="17"/>
  <c r="B206" i="17"/>
  <c r="C205" i="17"/>
  <c r="B205" i="17"/>
  <c r="C204" i="17"/>
  <c r="B204" i="17"/>
  <c r="C196" i="17"/>
  <c r="B196" i="17"/>
  <c r="C195" i="17"/>
  <c r="B195" i="17"/>
  <c r="C194" i="17"/>
  <c r="B194" i="17"/>
  <c r="C193" i="17"/>
  <c r="B193" i="17"/>
  <c r="C192" i="17"/>
  <c r="B192" i="17"/>
  <c r="C191" i="17"/>
  <c r="B191" i="17"/>
  <c r="C190" i="17"/>
  <c r="B190" i="17"/>
  <c r="C189" i="17"/>
  <c r="B189" i="17"/>
  <c r="C188" i="17"/>
  <c r="B188" i="17"/>
  <c r="C187" i="17"/>
  <c r="B187" i="17"/>
  <c r="C186" i="17"/>
  <c r="B186" i="17"/>
  <c r="C185" i="17"/>
  <c r="B185" i="17"/>
  <c r="C184" i="17"/>
  <c r="B184" i="17"/>
  <c r="C183" i="17"/>
  <c r="B183" i="17"/>
  <c r="C182" i="17"/>
  <c r="B182" i="17"/>
  <c r="C181" i="17"/>
  <c r="B181" i="17"/>
  <c r="C180" i="17"/>
  <c r="B180" i="17"/>
  <c r="C179" i="17"/>
  <c r="B179" i="17"/>
  <c r="C178" i="17"/>
  <c r="B178" i="17"/>
  <c r="C177" i="17"/>
  <c r="B177" i="17"/>
  <c r="C176" i="17"/>
  <c r="B176" i="17"/>
  <c r="C175" i="17"/>
  <c r="B175" i="17"/>
  <c r="C174" i="17"/>
  <c r="B174" i="17"/>
  <c r="C173" i="17"/>
  <c r="B173" i="17"/>
  <c r="C172" i="17"/>
  <c r="B172" i="17"/>
  <c r="C171" i="17"/>
  <c r="B171" i="17"/>
  <c r="C170" i="17"/>
  <c r="B170" i="17"/>
  <c r="C169" i="17"/>
  <c r="B169" i="17"/>
  <c r="C168" i="17"/>
  <c r="B168" i="17"/>
  <c r="C167" i="17"/>
  <c r="B167" i="17"/>
  <c r="C166" i="17"/>
  <c r="B166" i="17"/>
  <c r="C165" i="17"/>
  <c r="B165" i="17"/>
  <c r="C164" i="17"/>
  <c r="B164" i="17"/>
  <c r="C163" i="17"/>
  <c r="B163" i="17"/>
  <c r="C162" i="17"/>
  <c r="B162" i="17"/>
  <c r="C161" i="17"/>
  <c r="B161" i="17"/>
  <c r="C157" i="17"/>
  <c r="B157" i="17"/>
  <c r="C156" i="17"/>
  <c r="B156" i="17"/>
  <c r="C155" i="17"/>
  <c r="B155" i="17"/>
  <c r="C154" i="17"/>
  <c r="B154" i="17"/>
  <c r="C153" i="17"/>
  <c r="B153" i="17"/>
  <c r="C152" i="17"/>
  <c r="B152" i="17"/>
  <c r="C151" i="17"/>
  <c r="B151" i="17"/>
  <c r="C150" i="17"/>
  <c r="B150" i="17"/>
  <c r="C149" i="17"/>
  <c r="B149" i="17"/>
  <c r="C148" i="17"/>
  <c r="B148" i="17"/>
  <c r="C147" i="17"/>
  <c r="B147" i="17"/>
  <c r="C146" i="17"/>
  <c r="B146" i="17"/>
  <c r="C145" i="17"/>
  <c r="B145" i="17"/>
  <c r="C144" i="17"/>
  <c r="B144" i="17"/>
  <c r="C143" i="17"/>
  <c r="B143" i="17"/>
  <c r="C142" i="17"/>
  <c r="B142" i="17"/>
  <c r="C141" i="17"/>
  <c r="B141" i="17"/>
  <c r="C140" i="17"/>
  <c r="B140" i="17"/>
  <c r="C139" i="17"/>
  <c r="B139" i="17"/>
  <c r="C138" i="17"/>
  <c r="B138" i="17"/>
  <c r="C137" i="17"/>
  <c r="B137" i="17"/>
  <c r="C136" i="17"/>
  <c r="B136" i="17"/>
  <c r="C135" i="17"/>
  <c r="B135" i="17"/>
  <c r="C134" i="17"/>
  <c r="B134" i="17"/>
  <c r="C133" i="17"/>
  <c r="B133" i="17"/>
  <c r="C132" i="17"/>
  <c r="B132" i="17"/>
  <c r="C131" i="17"/>
  <c r="B131" i="17"/>
  <c r="C130" i="17"/>
  <c r="B130" i="17"/>
  <c r="C129" i="17"/>
  <c r="B129" i="17"/>
  <c r="C128" i="17"/>
  <c r="B128" i="17"/>
  <c r="C127" i="17"/>
  <c r="B127" i="17"/>
  <c r="C126" i="17"/>
  <c r="B126" i="17"/>
  <c r="C125" i="17"/>
  <c r="B125" i="17"/>
  <c r="C124" i="17"/>
  <c r="B124" i="17"/>
  <c r="C123" i="17"/>
  <c r="B123" i="17"/>
  <c r="C122" i="17"/>
  <c r="B122" i="17"/>
  <c r="C118" i="17"/>
  <c r="B118" i="17"/>
  <c r="C117" i="17"/>
  <c r="B117" i="17"/>
  <c r="C116" i="17"/>
  <c r="B116" i="17"/>
  <c r="C115" i="17"/>
  <c r="B115" i="17"/>
  <c r="C114" i="17"/>
  <c r="B114" i="17"/>
  <c r="C113" i="17"/>
  <c r="B113" i="17"/>
  <c r="C112" i="17"/>
  <c r="B112" i="17"/>
  <c r="C111" i="17"/>
  <c r="B111" i="17"/>
  <c r="C110" i="17"/>
  <c r="B110" i="17"/>
  <c r="C109" i="17"/>
  <c r="B109" i="17"/>
  <c r="C108" i="17"/>
  <c r="B108" i="17"/>
  <c r="C107" i="17"/>
  <c r="B107" i="17"/>
  <c r="C106" i="17"/>
  <c r="B106" i="17"/>
  <c r="C105" i="17"/>
  <c r="B105" i="17"/>
  <c r="C104" i="17"/>
  <c r="B104" i="17"/>
  <c r="C103" i="17"/>
  <c r="B103" i="17"/>
  <c r="C102" i="17"/>
  <c r="B102" i="17"/>
  <c r="C101" i="17"/>
  <c r="B101" i="17"/>
  <c r="C100" i="17"/>
  <c r="B100" i="17"/>
  <c r="C99" i="17"/>
  <c r="B99" i="17"/>
  <c r="C98" i="17"/>
  <c r="B98" i="17"/>
  <c r="C97" i="17"/>
  <c r="B97" i="17"/>
  <c r="C96" i="17"/>
  <c r="B96" i="17"/>
  <c r="C95" i="17"/>
  <c r="B95" i="17"/>
  <c r="C94" i="17"/>
  <c r="B94" i="17"/>
  <c r="C93" i="17"/>
  <c r="B93" i="17"/>
  <c r="C92" i="17"/>
  <c r="B92" i="17"/>
  <c r="C91" i="17"/>
  <c r="B91" i="17"/>
  <c r="C90" i="17"/>
  <c r="B90" i="17"/>
  <c r="C89" i="17"/>
  <c r="B89" i="17"/>
  <c r="C88" i="17"/>
  <c r="B88" i="17"/>
  <c r="C87" i="17"/>
  <c r="B87" i="17"/>
  <c r="C86" i="17"/>
  <c r="B86" i="17"/>
  <c r="C85" i="17"/>
  <c r="B85" i="17"/>
  <c r="C84" i="17"/>
  <c r="B84" i="17"/>
  <c r="C83" i="17"/>
  <c r="B83" i="17"/>
  <c r="C79" i="17"/>
  <c r="B79" i="17"/>
  <c r="C78" i="17"/>
  <c r="B78" i="17"/>
  <c r="C77" i="17"/>
  <c r="B77" i="17"/>
  <c r="C76" i="17"/>
  <c r="B76" i="17"/>
  <c r="C75" i="17"/>
  <c r="B75" i="17"/>
  <c r="C74" i="17"/>
  <c r="B74" i="17"/>
  <c r="C73" i="17"/>
  <c r="B73" i="17"/>
  <c r="C72" i="17"/>
  <c r="B72" i="17"/>
  <c r="C71" i="17"/>
  <c r="B71" i="17"/>
  <c r="C70" i="17"/>
  <c r="B70" i="17"/>
  <c r="C69" i="17"/>
  <c r="B69" i="17"/>
  <c r="C68" i="17"/>
  <c r="B68" i="17"/>
  <c r="C67" i="17"/>
  <c r="B67" i="17"/>
  <c r="C66" i="17"/>
  <c r="B66" i="17"/>
  <c r="C65" i="17"/>
  <c r="B65" i="17"/>
  <c r="C64" i="17"/>
  <c r="B64" i="17"/>
  <c r="C63" i="17"/>
  <c r="B63" i="17"/>
  <c r="C62" i="17"/>
  <c r="B62" i="17"/>
  <c r="C61" i="17"/>
  <c r="B61" i="17"/>
  <c r="C60" i="17"/>
  <c r="B60" i="17"/>
  <c r="C59" i="17"/>
  <c r="B59" i="17"/>
  <c r="C58" i="17"/>
  <c r="B58" i="17"/>
  <c r="C57" i="17"/>
  <c r="B57" i="17"/>
  <c r="C56" i="17"/>
  <c r="B56" i="17"/>
  <c r="C55" i="17"/>
  <c r="B55" i="17"/>
  <c r="C54" i="17"/>
  <c r="B54" i="17"/>
  <c r="C53" i="17"/>
  <c r="B53" i="17"/>
  <c r="C52" i="17"/>
  <c r="B52" i="17"/>
  <c r="C51" i="17"/>
  <c r="B51" i="17"/>
  <c r="C50" i="17"/>
  <c r="B50" i="17"/>
  <c r="C49" i="17"/>
  <c r="B49" i="17"/>
  <c r="C48" i="17"/>
  <c r="B48" i="17"/>
  <c r="C47" i="17"/>
  <c r="B47" i="17"/>
  <c r="C46" i="17"/>
  <c r="B46" i="17"/>
  <c r="C45" i="17"/>
  <c r="B45" i="17"/>
  <c r="C44" i="17"/>
  <c r="B44" i="17"/>
  <c r="C40" i="17"/>
  <c r="B40" i="17"/>
  <c r="C39" i="17"/>
  <c r="B39" i="17"/>
  <c r="C38" i="17"/>
  <c r="B38" i="17"/>
  <c r="C37" i="17"/>
  <c r="B37" i="17"/>
  <c r="C36" i="17"/>
  <c r="B36" i="17"/>
  <c r="C35" i="17"/>
  <c r="B35" i="17"/>
  <c r="C34" i="17"/>
  <c r="B34" i="17"/>
  <c r="C33" i="17"/>
  <c r="B33" i="17"/>
  <c r="C32" i="17"/>
  <c r="B32" i="17"/>
  <c r="C31" i="17"/>
  <c r="B31" i="17"/>
  <c r="C30" i="17"/>
  <c r="B30" i="17"/>
  <c r="C29" i="17"/>
  <c r="B29" i="17"/>
  <c r="C28" i="17"/>
  <c r="B28" i="17"/>
  <c r="C27" i="17"/>
  <c r="B27" i="17"/>
  <c r="C26" i="17"/>
  <c r="B26" i="17"/>
  <c r="C25" i="17"/>
  <c r="B25" i="17"/>
  <c r="C24" i="17"/>
  <c r="B24" i="17"/>
  <c r="C23" i="17"/>
  <c r="B23" i="17"/>
  <c r="C22" i="17"/>
  <c r="B22" i="17"/>
  <c r="C21" i="17"/>
  <c r="B21" i="17"/>
  <c r="C20" i="17"/>
  <c r="B20" i="17"/>
  <c r="C19" i="17"/>
  <c r="B19" i="17"/>
  <c r="C18" i="17"/>
  <c r="B18" i="17"/>
  <c r="C17" i="17"/>
  <c r="B17" i="17"/>
  <c r="C16" i="17"/>
  <c r="B16" i="17"/>
  <c r="C15" i="17"/>
  <c r="B15" i="17"/>
  <c r="C14" i="17"/>
  <c r="B14" i="17"/>
  <c r="C13" i="17"/>
  <c r="B13" i="17"/>
  <c r="C12" i="17"/>
  <c r="B12" i="17"/>
  <c r="C11" i="17"/>
  <c r="B11" i="17"/>
  <c r="C10" i="17"/>
  <c r="B10" i="17"/>
  <c r="C9" i="17"/>
  <c r="B9" i="17"/>
  <c r="C8" i="17"/>
  <c r="B8" i="17"/>
  <c r="C7" i="17"/>
  <c r="B7" i="17"/>
  <c r="C6" i="17"/>
  <c r="B6" i="17"/>
  <c r="C5" i="17"/>
  <c r="B5" i="17"/>
  <c r="A2" i="17"/>
  <c r="C1" i="17"/>
  <c r="A814" i="17" s="1"/>
  <c r="A12" i="17" l="1"/>
  <c r="A20" i="17"/>
  <c r="A60" i="17"/>
  <c r="A68" i="17"/>
  <c r="A76" i="17"/>
  <c r="A124" i="17"/>
  <c r="A156" i="17"/>
  <c r="A295" i="17"/>
  <c r="A449" i="17"/>
  <c r="A481" i="17"/>
  <c r="A673" i="17"/>
  <c r="A764" i="17"/>
  <c r="A55" i="17"/>
  <c r="A71" i="17"/>
  <c r="A111" i="17"/>
  <c r="A151" i="17"/>
  <c r="A281" i="17"/>
  <c r="A313" i="17"/>
  <c r="A345" i="17"/>
  <c r="A378" i="17"/>
  <c r="A411" i="17"/>
  <c r="A439" i="17"/>
  <c r="A503" i="17"/>
  <c r="A535" i="17"/>
  <c r="A567" i="17"/>
  <c r="A599" i="17"/>
  <c r="A631" i="17"/>
  <c r="A663" i="17"/>
  <c r="A695" i="17"/>
  <c r="A728" i="17"/>
  <c r="A754" i="17"/>
  <c r="A782" i="17"/>
  <c r="A965" i="17"/>
  <c r="A84" i="17"/>
  <c r="A132" i="17"/>
  <c r="A148" i="17"/>
  <c r="A135" i="17"/>
  <c r="A681" i="17"/>
  <c r="A69" i="17"/>
  <c r="A109" i="17"/>
  <c r="A117" i="17"/>
  <c r="A125" i="17"/>
  <c r="A149" i="17"/>
  <c r="A157" i="17"/>
  <c r="A160" i="17"/>
  <c r="A192" i="17"/>
  <c r="A225" i="17"/>
  <c r="A257" i="17"/>
  <c r="A289" i="17"/>
  <c r="A321" i="17"/>
  <c r="A354" i="17"/>
  <c r="A386" i="17"/>
  <c r="A419" i="17"/>
  <c r="A447" i="17"/>
  <c r="A479" i="17"/>
  <c r="A511" i="17"/>
  <c r="A543" i="17"/>
  <c r="A575" i="17"/>
  <c r="A607" i="17"/>
  <c r="A639" i="17"/>
  <c r="A671" i="17"/>
  <c r="A703" i="17"/>
  <c r="A798" i="17"/>
  <c r="A1030" i="17"/>
  <c r="A28" i="17"/>
  <c r="A108" i="17"/>
  <c r="A116" i="17"/>
  <c r="A140" i="17"/>
  <c r="A166" i="17"/>
  <c r="A327" i="17"/>
  <c r="A360" i="17"/>
  <c r="A545" i="17"/>
  <c r="A577" i="17"/>
  <c r="A609" i="17"/>
  <c r="A641" i="17"/>
  <c r="A757" i="17"/>
  <c r="A804" i="17"/>
  <c r="A949" i="17"/>
  <c r="A31" i="17"/>
  <c r="A39" i="17"/>
  <c r="A63" i="17"/>
  <c r="A87" i="17"/>
  <c r="A141" i="17"/>
  <c r="A8" i="17"/>
  <c r="A16" i="17"/>
  <c r="A24" i="17"/>
  <c r="A32" i="17"/>
  <c r="A40" i="17"/>
  <c r="A48" i="17"/>
  <c r="A56" i="17"/>
  <c r="A64" i="17"/>
  <c r="A72" i="17"/>
  <c r="A80" i="17"/>
  <c r="A88" i="17"/>
  <c r="A96" i="17"/>
  <c r="A104" i="17"/>
  <c r="A112" i="17"/>
  <c r="A120" i="17"/>
  <c r="A128" i="17"/>
  <c r="A136" i="17"/>
  <c r="A144" i="17"/>
  <c r="A152" i="17"/>
  <c r="A182" i="17"/>
  <c r="A215" i="17"/>
  <c r="A247" i="17"/>
  <c r="A279" i="17"/>
  <c r="A311" i="17"/>
  <c r="A343" i="17"/>
  <c r="A376" i="17"/>
  <c r="A408" i="17"/>
  <c r="A431" i="17"/>
  <c r="A465" i="17"/>
  <c r="A497" i="17"/>
  <c r="A529" i="17"/>
  <c r="A561" i="17"/>
  <c r="A593" i="17"/>
  <c r="A625" i="17"/>
  <c r="A657" i="17"/>
  <c r="A689" i="17"/>
  <c r="A722" i="17"/>
  <c r="A748" i="17"/>
  <c r="A776" i="17"/>
  <c r="A392" i="17"/>
  <c r="A7" i="17"/>
  <c r="A23" i="17"/>
  <c r="A47" i="17"/>
  <c r="A119" i="17"/>
  <c r="A184" i="17"/>
  <c r="A249" i="17"/>
  <c r="A471" i="17"/>
  <c r="A50" i="17"/>
  <c r="A114" i="17"/>
  <c r="A122" i="17"/>
  <c r="A130" i="17"/>
  <c r="A271" i="17"/>
  <c r="A368" i="17"/>
  <c r="A489" i="17"/>
  <c r="A585" i="17"/>
  <c r="A617" i="17"/>
  <c r="A45" i="17"/>
  <c r="A53" i="17"/>
  <c r="A133" i="17"/>
  <c r="A11" i="17"/>
  <c r="A19" i="17"/>
  <c r="A27" i="17"/>
  <c r="A35" i="17"/>
  <c r="A43" i="17"/>
  <c r="A51" i="17"/>
  <c r="A59" i="17"/>
  <c r="A67" i="17"/>
  <c r="A75" i="17"/>
  <c r="A83" i="17"/>
  <c r="A91" i="17"/>
  <c r="A99" i="17"/>
  <c r="A107" i="17"/>
  <c r="A115" i="17"/>
  <c r="A123" i="17"/>
  <c r="A131" i="17"/>
  <c r="A139" i="17"/>
  <c r="A147" i="17"/>
  <c r="A155" i="17"/>
  <c r="A168" i="17"/>
  <c r="A200" i="17"/>
  <c r="A233" i="17"/>
  <c r="A265" i="17"/>
  <c r="A297" i="17"/>
  <c r="A329" i="17"/>
  <c r="A362" i="17"/>
  <c r="A394" i="17"/>
  <c r="A455" i="17"/>
  <c r="A487" i="17"/>
  <c r="A519" i="17"/>
  <c r="A551" i="17"/>
  <c r="A583" i="17"/>
  <c r="A615" i="17"/>
  <c r="A647" i="17"/>
  <c r="A679" i="17"/>
  <c r="A711" i="17"/>
  <c r="A733" i="17"/>
  <c r="A766" i="17"/>
  <c r="A773" i="17"/>
  <c r="A1041" i="17"/>
  <c r="A1033" i="17"/>
  <c r="A1025" i="17"/>
  <c r="A1017" i="17"/>
  <c r="A1009" i="17"/>
  <c r="A1000" i="17"/>
  <c r="A992" i="17"/>
  <c r="A984" i="17"/>
  <c r="A976" i="17"/>
  <c r="A968" i="17"/>
  <c r="A960" i="17"/>
  <c r="A952" i="17"/>
  <c r="A944" i="17"/>
  <c r="A936" i="17"/>
  <c r="A928" i="17"/>
  <c r="A920" i="17"/>
  <c r="A912" i="17"/>
  <c r="A904" i="17"/>
  <c r="A896" i="17"/>
  <c r="A888" i="17"/>
  <c r="A880" i="17"/>
  <c r="A872" i="17"/>
  <c r="A864" i="17"/>
  <c r="A856" i="17"/>
  <c r="A848" i="17"/>
  <c r="A840" i="17"/>
  <c r="A832" i="17"/>
  <c r="A824" i="17"/>
  <c r="A816" i="17"/>
  <c r="A808" i="17"/>
  <c r="A800" i="17"/>
  <c r="A792" i="17"/>
  <c r="A784" i="17"/>
  <c r="A1230" i="17"/>
  <c r="A1225" i="17"/>
  <c r="A1221" i="17"/>
  <c r="A1217" i="17"/>
  <c r="A1213" i="17"/>
  <c r="A1209" i="17"/>
  <c r="A1205" i="17"/>
  <c r="A1201" i="17"/>
  <c r="A1197" i="17"/>
  <c r="A1193" i="17"/>
  <c r="A1189" i="17"/>
  <c r="A1185" i="17"/>
  <c r="A1181" i="17"/>
  <c r="A1177" i="17"/>
  <c r="A1173" i="17"/>
  <c r="A1169" i="17"/>
  <c r="A1165" i="17"/>
  <c r="A1161" i="17"/>
  <c r="A1157" i="17"/>
  <c r="A1153" i="17"/>
  <c r="A1149" i="17"/>
  <c r="A1145" i="17"/>
  <c r="A1141" i="17"/>
  <c r="A1137" i="17"/>
  <c r="A1133" i="17"/>
  <c r="A1129" i="17"/>
  <c r="A1125" i="17"/>
  <c r="A1121" i="17"/>
  <c r="A1117" i="17"/>
  <c r="A1113" i="17"/>
  <c r="A1109" i="17"/>
  <c r="A1105" i="17"/>
  <c r="A1101" i="17"/>
  <c r="A1097" i="17"/>
  <c r="A1093" i="17"/>
  <c r="A1089" i="17"/>
  <c r="A1085" i="17"/>
  <c r="A1081" i="17"/>
  <c r="A1077" i="17"/>
  <c r="A1073" i="17"/>
  <c r="A1069" i="17"/>
  <c r="A1065" i="17"/>
  <c r="A1061" i="17"/>
  <c r="A1057" i="17"/>
  <c r="A1053" i="17"/>
  <c r="A1049" i="17"/>
  <c r="A1043" i="17"/>
  <c r="A1035" i="17"/>
  <c r="A1027" i="17"/>
  <c r="A1019" i="17"/>
  <c r="A1011" i="17"/>
  <c r="A1002" i="17"/>
  <c r="A994" i="17"/>
  <c r="A986" i="17"/>
  <c r="A978" i="17"/>
  <c r="A970" i="17"/>
  <c r="A962" i="17"/>
  <c r="A954" i="17"/>
  <c r="A946" i="17"/>
  <c r="A938" i="17"/>
  <c r="A930" i="17"/>
  <c r="A922" i="17"/>
  <c r="A914" i="17"/>
  <c r="A906" i="17"/>
  <c r="A898" i="17"/>
  <c r="A890" i="17"/>
  <c r="A882" i="17"/>
  <c r="A874" i="17"/>
  <c r="A866" i="17"/>
  <c r="A858" i="17"/>
  <c r="A850" i="17"/>
  <c r="A842" i="17"/>
  <c r="A834" i="17"/>
  <c r="A1229" i="17"/>
  <c r="A1224" i="17"/>
  <c r="A1220" i="17"/>
  <c r="A1216" i="17"/>
  <c r="A1212" i="17"/>
  <c r="A1208" i="17"/>
  <c r="A1204" i="17"/>
  <c r="A1200" i="17"/>
  <c r="A1196" i="17"/>
  <c r="A1192" i="17"/>
  <c r="A1188" i="17"/>
  <c r="A1184" i="17"/>
  <c r="A1180" i="17"/>
  <c r="A1176" i="17"/>
  <c r="A1172" i="17"/>
  <c r="A1168" i="17"/>
  <c r="A1164" i="17"/>
  <c r="A1160" i="17"/>
  <c r="A1156" i="17"/>
  <c r="A1152" i="17"/>
  <c r="A1148" i="17"/>
  <c r="A1144" i="17"/>
  <c r="A1140" i="17"/>
  <c r="A1136" i="17"/>
  <c r="A1132" i="17"/>
  <c r="A1128" i="17"/>
  <c r="A1124" i="17"/>
  <c r="A1120" i="17"/>
  <c r="A1116" i="17"/>
  <c r="A1112" i="17"/>
  <c r="A1108" i="17"/>
  <c r="A1104" i="17"/>
  <c r="A1100" i="17"/>
  <c r="A1096" i="17"/>
  <c r="A1092" i="17"/>
  <c r="A1088" i="17"/>
  <c r="A1084" i="17"/>
  <c r="A1080" i="17"/>
  <c r="A1076" i="17"/>
  <c r="A1072" i="17"/>
  <c r="A1068" i="17"/>
  <c r="A1064" i="17"/>
  <c r="A1060" i="17"/>
  <c r="A1056" i="17"/>
  <c r="A1052" i="17"/>
  <c r="A1048" i="17"/>
  <c r="A1040" i="17"/>
  <c r="A1032" i="17"/>
  <c r="A1024" i="17"/>
  <c r="A1016" i="17"/>
  <c r="A1008" i="17"/>
  <c r="A999" i="17"/>
  <c r="A991" i="17"/>
  <c r="A983" i="17"/>
  <c r="A975" i="17"/>
  <c r="A967" i="17"/>
  <c r="A959" i="17"/>
  <c r="A951" i="17"/>
  <c r="A943" i="17"/>
  <c r="A935" i="17"/>
  <c r="A927" i="17"/>
  <c r="A919" i="17"/>
  <c r="A911" i="17"/>
  <c r="A903" i="17"/>
  <c r="A895" i="17"/>
  <c r="A887" i="17"/>
  <c r="A879" i="17"/>
  <c r="A871" i="17"/>
  <c r="A863" i="17"/>
  <c r="A855" i="17"/>
  <c r="A847" i="17"/>
  <c r="A839" i="17"/>
  <c r="A831" i="17"/>
  <c r="A823" i="17"/>
  <c r="A815" i="17"/>
  <c r="A807" i="17"/>
  <c r="A799" i="17"/>
  <c r="A791" i="17"/>
  <c r="A783" i="17"/>
  <c r="A775" i="17"/>
  <c r="A767" i="17"/>
  <c r="A759" i="17"/>
  <c r="A751" i="17"/>
  <c r="A743" i="17"/>
  <c r="A1037" i="17"/>
  <c r="A1029" i="17"/>
  <c r="A1021" i="17"/>
  <c r="A1013" i="17"/>
  <c r="A1005" i="17"/>
  <c r="A996" i="17"/>
  <c r="A988" i="17"/>
  <c r="A980" i="17"/>
  <c r="A972" i="17"/>
  <c r="A964" i="17"/>
  <c r="A956" i="17"/>
  <c r="A948" i="17"/>
  <c r="A940" i="17"/>
  <c r="A932" i="17"/>
  <c r="A924" i="17"/>
  <c r="A916" i="17"/>
  <c r="A908" i="17"/>
  <c r="A900" i="17"/>
  <c r="A892" i="17"/>
  <c r="A884" i="17"/>
  <c r="A876" i="17"/>
  <c r="A868" i="17"/>
  <c r="A860" i="17"/>
  <c r="A852" i="17"/>
  <c r="A844" i="17"/>
  <c r="A836" i="17"/>
  <c r="A1228" i="17"/>
  <c r="A1223" i="17"/>
  <c r="A1219" i="17"/>
  <c r="A1215" i="17"/>
  <c r="A1211" i="17"/>
  <c r="A1207" i="17"/>
  <c r="A1203" i="17"/>
  <c r="A1199" i="17"/>
  <c r="A1195" i="17"/>
  <c r="A1191" i="17"/>
  <c r="A1187" i="17"/>
  <c r="A1183" i="17"/>
  <c r="A1179" i="17"/>
  <c r="A1175" i="17"/>
  <c r="A1171" i="17"/>
  <c r="A1167" i="17"/>
  <c r="A1163" i="17"/>
  <c r="A1159" i="17"/>
  <c r="A1155" i="17"/>
  <c r="A1151" i="17"/>
  <c r="A1147" i="17"/>
  <c r="A1143" i="17"/>
  <c r="A1139" i="17"/>
  <c r="A1135" i="17"/>
  <c r="A1131" i="17"/>
  <c r="A1127" i="17"/>
  <c r="A1123" i="17"/>
  <c r="A1119" i="17"/>
  <c r="A1115" i="17"/>
  <c r="A1111" i="17"/>
  <c r="A1107" i="17"/>
  <c r="A1103" i="17"/>
  <c r="A1099" i="17"/>
  <c r="A1095" i="17"/>
  <c r="A1091" i="17"/>
  <c r="A1087" i="17"/>
  <c r="A1083" i="17"/>
  <c r="A1079" i="17"/>
  <c r="A1075" i="17"/>
  <c r="A1071" i="17"/>
  <c r="A1067" i="17"/>
  <c r="A1063" i="17"/>
  <c r="A1059" i="17"/>
  <c r="A1055" i="17"/>
  <c r="A1051" i="17"/>
  <c r="A1047" i="17"/>
  <c r="A1042" i="17"/>
  <c r="A1034" i="17"/>
  <c r="A1026" i="17"/>
  <c r="A1018" i="17"/>
  <c r="A1010" i="17"/>
  <c r="A1001" i="17"/>
  <c r="A993" i="17"/>
  <c r="A985" i="17"/>
  <c r="A977" i="17"/>
  <c r="A969" i="17"/>
  <c r="A961" i="17"/>
  <c r="A953" i="17"/>
  <c r="A945" i="17"/>
  <c r="A937" i="17"/>
  <c r="A929" i="17"/>
  <c r="A921" i="17"/>
  <c r="A913" i="17"/>
  <c r="A905" i="17"/>
  <c r="A897" i="17"/>
  <c r="A889" i="17"/>
  <c r="A881" i="17"/>
  <c r="A873" i="17"/>
  <c r="A865" i="17"/>
  <c r="A857" i="17"/>
  <c r="A849" i="17"/>
  <c r="A841" i="17"/>
  <c r="A833" i="17"/>
  <c r="A825" i="17"/>
  <c r="A817" i="17"/>
  <c r="A809" i="17"/>
  <c r="A801" i="17"/>
  <c r="A793" i="17"/>
  <c r="A785" i="17"/>
  <c r="A777" i="17"/>
  <c r="A769" i="17"/>
  <c r="A761" i="17"/>
  <c r="A753" i="17"/>
  <c r="A745" i="17"/>
  <c r="A737" i="17"/>
  <c r="A1039" i="17"/>
  <c r="A1031" i="17"/>
  <c r="A1023" i="17"/>
  <c r="A1015" i="17"/>
  <c r="A1007" i="17"/>
  <c r="A998" i="17"/>
  <c r="A990" i="17"/>
  <c r="A982" i="17"/>
  <c r="A974" i="17"/>
  <c r="A966" i="17"/>
  <c r="A958" i="17"/>
  <c r="A950" i="17"/>
  <c r="A942" i="17"/>
  <c r="A934" i="17"/>
  <c r="A926" i="17"/>
  <c r="A918" i="17"/>
  <c r="A910" i="17"/>
  <c r="A902" i="17"/>
  <c r="A894" i="17"/>
  <c r="A886" i="17"/>
  <c r="A878" i="17"/>
  <c r="A870" i="17"/>
  <c r="A862" i="17"/>
  <c r="A854" i="17"/>
  <c r="A846" i="17"/>
  <c r="A1226" i="17"/>
  <c r="A1222" i="17"/>
  <c r="A1218" i="17"/>
  <c r="A1214" i="17"/>
  <c r="A1210" i="17"/>
  <c r="A1206" i="17"/>
  <c r="A1202" i="17"/>
  <c r="A1198" i="17"/>
  <c r="A1194" i="17"/>
  <c r="A1190" i="17"/>
  <c r="A1186" i="17"/>
  <c r="A1182" i="17"/>
  <c r="A1178" i="17"/>
  <c r="A1174" i="17"/>
  <c r="A1170" i="17"/>
  <c r="A1166" i="17"/>
  <c r="A1162" i="17"/>
  <c r="A1158" i="17"/>
  <c r="A1154" i="17"/>
  <c r="A1150" i="17"/>
  <c r="A1146" i="17"/>
  <c r="A1142" i="17"/>
  <c r="A1138" i="17"/>
  <c r="A1134" i="17"/>
  <c r="A1130" i="17"/>
  <c r="A1126" i="17"/>
  <c r="A1122" i="17"/>
  <c r="A1118" i="17"/>
  <c r="A1114" i="17"/>
  <c r="A1110" i="17"/>
  <c r="A1106" i="17"/>
  <c r="A1102" i="17"/>
  <c r="A1098" i="17"/>
  <c r="A1094" i="17"/>
  <c r="A1090" i="17"/>
  <c r="A1086" i="17"/>
  <c r="A1082" i="17"/>
  <c r="A1078" i="17"/>
  <c r="A1074" i="17"/>
  <c r="A1070" i="17"/>
  <c r="A1066" i="17"/>
  <c r="A1062" i="17"/>
  <c r="A1058" i="17"/>
  <c r="A1054" i="17"/>
  <c r="A1050" i="17"/>
  <c r="A1045" i="17"/>
  <c r="A1036" i="17"/>
  <c r="A1028" i="17"/>
  <c r="A1020" i="17"/>
  <c r="A1012" i="17"/>
  <c r="A1003" i="17"/>
  <c r="A995" i="17"/>
  <c r="A987" i="17"/>
  <c r="A979" i="17"/>
  <c r="A971" i="17"/>
  <c r="A963" i="17"/>
  <c r="A955" i="17"/>
  <c r="A947" i="17"/>
  <c r="A939" i="17"/>
  <c r="A931" i="17"/>
  <c r="A923" i="17"/>
  <c r="A915" i="17"/>
  <c r="A907" i="17"/>
  <c r="A899" i="17"/>
  <c r="A891" i="17"/>
  <c r="A883" i="17"/>
  <c r="A875" i="17"/>
  <c r="A867" i="17"/>
  <c r="A859" i="17"/>
  <c r="A851" i="17"/>
  <c r="A843" i="17"/>
  <c r="A835" i="17"/>
  <c r="A827" i="17"/>
  <c r="A819" i="17"/>
  <c r="A811" i="17"/>
  <c r="A803" i="17"/>
  <c r="A795" i="17"/>
  <c r="A787" i="17"/>
  <c r="A779" i="17"/>
  <c r="A771" i="17"/>
  <c r="A763" i="17"/>
  <c r="A755" i="17"/>
  <c r="A747" i="17"/>
  <c r="A739" i="17"/>
  <c r="A731" i="17"/>
  <c r="A1006" i="17"/>
  <c r="A941" i="17"/>
  <c r="A877" i="17"/>
  <c r="A829" i="17"/>
  <c r="A826" i="17"/>
  <c r="A813" i="17"/>
  <c r="A810" i="17"/>
  <c r="A797" i="17"/>
  <c r="A794" i="17"/>
  <c r="A781" i="17"/>
  <c r="A778" i="17"/>
  <c r="A772" i="17"/>
  <c r="A727" i="17"/>
  <c r="A718" i="17"/>
  <c r="A710" i="17"/>
  <c r="A702" i="17"/>
  <c r="A694" i="17"/>
  <c r="A686" i="17"/>
  <c r="A678" i="17"/>
  <c r="A670" i="17"/>
  <c r="A662" i="17"/>
  <c r="A654" i="17"/>
  <c r="A646" i="17"/>
  <c r="A638" i="17"/>
  <c r="A630" i="17"/>
  <c r="A622" i="17"/>
  <c r="A614" i="17"/>
  <c r="A606" i="17"/>
  <c r="A598" i="17"/>
  <c r="A590" i="17"/>
  <c r="A582" i="17"/>
  <c r="A574" i="17"/>
  <c r="A566" i="17"/>
  <c r="A558" i="17"/>
  <c r="A550" i="17"/>
  <c r="A542" i="17"/>
  <c r="A534" i="17"/>
  <c r="A526" i="17"/>
  <c r="A518" i="17"/>
  <c r="A510" i="17"/>
  <c r="A502" i="17"/>
  <c r="A494" i="17"/>
  <c r="A486" i="17"/>
  <c r="A478" i="17"/>
  <c r="A470" i="17"/>
  <c r="A462" i="17"/>
  <c r="A454" i="17"/>
  <c r="A446" i="17"/>
  <c r="A438" i="17"/>
  <c r="A416" i="17"/>
  <c r="A407" i="17"/>
  <c r="A399" i="17"/>
  <c r="A391" i="17"/>
  <c r="A383" i="17"/>
  <c r="A375" i="17"/>
  <c r="A367" i="17"/>
  <c r="A359" i="17"/>
  <c r="A351" i="17"/>
  <c r="A342" i="17"/>
  <c r="A334" i="17"/>
  <c r="A326" i="17"/>
  <c r="A318" i="17"/>
  <c r="A310" i="17"/>
  <c r="A302" i="17"/>
  <c r="A294" i="17"/>
  <c r="A286" i="17"/>
  <c r="A278" i="17"/>
  <c r="A270" i="17"/>
  <c r="A262" i="17"/>
  <c r="A254" i="17"/>
  <c r="A246" i="17"/>
  <c r="A238" i="17"/>
  <c r="A230" i="17"/>
  <c r="A222" i="17"/>
  <c r="A214" i="17"/>
  <c r="A206" i="17"/>
  <c r="A197" i="17"/>
  <c r="A189" i="17"/>
  <c r="A181" i="17"/>
  <c r="A173" i="17"/>
  <c r="A165" i="17"/>
  <c r="A997" i="17"/>
  <c r="A933" i="17"/>
  <c r="A869" i="17"/>
  <c r="A822" i="17"/>
  <c r="A806" i="17"/>
  <c r="A790" i="17"/>
  <c r="A750" i="17"/>
  <c r="A744" i="17"/>
  <c r="A741" i="17"/>
  <c r="A738" i="17"/>
  <c r="A735" i="17"/>
  <c r="A724" i="17"/>
  <c r="A715" i="17"/>
  <c r="A707" i="17"/>
  <c r="A699" i="17"/>
  <c r="A691" i="17"/>
  <c r="A683" i="17"/>
  <c r="A675" i="17"/>
  <c r="A667" i="17"/>
  <c r="A659" i="17"/>
  <c r="A651" i="17"/>
  <c r="A643" i="17"/>
  <c r="A635" i="17"/>
  <c r="A627" i="17"/>
  <c r="A619" i="17"/>
  <c r="A611" i="17"/>
  <c r="A603" i="17"/>
  <c r="A595" i="17"/>
  <c r="A587" i="17"/>
  <c r="A579" i="17"/>
  <c r="A571" i="17"/>
  <c r="A563" i="17"/>
  <c r="A555" i="17"/>
  <c r="A547" i="17"/>
  <c r="A539" i="17"/>
  <c r="A531" i="17"/>
  <c r="A523" i="17"/>
  <c r="A515" i="17"/>
  <c r="A507" i="17"/>
  <c r="A499" i="17"/>
  <c r="A491" i="17"/>
  <c r="A483" i="17"/>
  <c r="A475" i="17"/>
  <c r="A467" i="17"/>
  <c r="A459" i="17"/>
  <c r="A451" i="17"/>
  <c r="A443" i="17"/>
  <c r="A435" i="17"/>
  <c r="A430" i="17"/>
  <c r="A425" i="17"/>
  <c r="A421" i="17"/>
  <c r="A413" i="17"/>
  <c r="A404" i="17"/>
  <c r="A396" i="17"/>
  <c r="A388" i="17"/>
  <c r="A380" i="17"/>
  <c r="A372" i="17"/>
  <c r="A364" i="17"/>
  <c r="A356" i="17"/>
  <c r="A348" i="17"/>
  <c r="A339" i="17"/>
  <c r="A331" i="17"/>
  <c r="A323" i="17"/>
  <c r="A315" i="17"/>
  <c r="A307" i="17"/>
  <c r="A299" i="17"/>
  <c r="A291" i="17"/>
  <c r="A283" i="17"/>
  <c r="A275" i="17"/>
  <c r="A267" i="17"/>
  <c r="A259" i="17"/>
  <c r="A251" i="17"/>
  <c r="A243" i="17"/>
  <c r="A235" i="17"/>
  <c r="A227" i="17"/>
  <c r="A219" i="17"/>
  <c r="A211" i="17"/>
  <c r="A202" i="17"/>
  <c r="A194" i="17"/>
  <c r="A186" i="17"/>
  <c r="A178" i="17"/>
  <c r="A170" i="17"/>
  <c r="A162" i="17"/>
  <c r="A989" i="17"/>
  <c r="A925" i="17"/>
  <c r="A861" i="17"/>
  <c r="A774" i="17"/>
  <c r="A768" i="17"/>
  <c r="A765" i="17"/>
  <c r="A762" i="17"/>
  <c r="A756" i="17"/>
  <c r="A732" i="17"/>
  <c r="A729" i="17"/>
  <c r="A721" i="17"/>
  <c r="A712" i="17"/>
  <c r="A704" i="17"/>
  <c r="A696" i="17"/>
  <c r="A688" i="17"/>
  <c r="A680" i="17"/>
  <c r="A672" i="17"/>
  <c r="A664" i="17"/>
  <c r="A656" i="17"/>
  <c r="A648" i="17"/>
  <c r="A640" i="17"/>
  <c r="A632" i="17"/>
  <c r="A624" i="17"/>
  <c r="A616" i="17"/>
  <c r="A608" i="17"/>
  <c r="A600" i="17"/>
  <c r="A592" i="17"/>
  <c r="A584" i="17"/>
  <c r="A576" i="17"/>
  <c r="A568" i="17"/>
  <c r="A560" i="17"/>
  <c r="A552" i="17"/>
  <c r="A544" i="17"/>
  <c r="A536" i="17"/>
  <c r="A528" i="17"/>
  <c r="A520" i="17"/>
  <c r="A512" i="17"/>
  <c r="A504" i="17"/>
  <c r="A496" i="17"/>
  <c r="A488" i="17"/>
  <c r="A480" i="17"/>
  <c r="A472" i="17"/>
  <c r="A464" i="17"/>
  <c r="A456" i="17"/>
  <c r="A448" i="17"/>
  <c r="A440" i="17"/>
  <c r="A418" i="17"/>
  <c r="A410" i="17"/>
  <c r="A401" i="17"/>
  <c r="A393" i="17"/>
  <c r="A385" i="17"/>
  <c r="A377" i="17"/>
  <c r="A369" i="17"/>
  <c r="A361" i="17"/>
  <c r="A353" i="17"/>
  <c r="A344" i="17"/>
  <c r="A336" i="17"/>
  <c r="A328" i="17"/>
  <c r="A320" i="17"/>
  <c r="A312" i="17"/>
  <c r="A304" i="17"/>
  <c r="A296" i="17"/>
  <c r="A288" i="17"/>
  <c r="A280" i="17"/>
  <c r="A272" i="17"/>
  <c r="A264" i="17"/>
  <c r="A256" i="17"/>
  <c r="A248" i="17"/>
  <c r="A240" i="17"/>
  <c r="A232" i="17"/>
  <c r="A224" i="17"/>
  <c r="A216" i="17"/>
  <c r="A208" i="17"/>
  <c r="A199" i="17"/>
  <c r="A191" i="17"/>
  <c r="A183" i="17"/>
  <c r="A175" i="17"/>
  <c r="A167" i="17"/>
  <c r="A159" i="17"/>
  <c r="A981" i="17"/>
  <c r="A917" i="17"/>
  <c r="A853" i="17"/>
  <c r="A838" i="17"/>
  <c r="A828" i="17"/>
  <c r="A812" i="17"/>
  <c r="A796" i="17"/>
  <c r="A780" i="17"/>
  <c r="A726" i="17"/>
  <c r="A717" i="17"/>
  <c r="A709" i="17"/>
  <c r="A701" i="17"/>
  <c r="A693" i="17"/>
  <c r="A685" i="17"/>
  <c r="A677" i="17"/>
  <c r="A669" i="17"/>
  <c r="A661" i="17"/>
  <c r="A653" i="17"/>
  <c r="A645" i="17"/>
  <c r="A637" i="17"/>
  <c r="A629" i="17"/>
  <c r="A621" i="17"/>
  <c r="A613" i="17"/>
  <c r="A605" i="17"/>
  <c r="A597" i="17"/>
  <c r="A589" i="17"/>
  <c r="A581" i="17"/>
  <c r="A573" i="17"/>
  <c r="A565" i="17"/>
  <c r="A557" i="17"/>
  <c r="A549" i="17"/>
  <c r="A541" i="17"/>
  <c r="A533" i="17"/>
  <c r="A525" i="17"/>
  <c r="A517" i="17"/>
  <c r="A509" i="17"/>
  <c r="A501" i="17"/>
  <c r="A493" i="17"/>
  <c r="A485" i="17"/>
  <c r="A477" i="17"/>
  <c r="A469" i="17"/>
  <c r="A461" i="17"/>
  <c r="A453" i="17"/>
  <c r="A445" i="17"/>
  <c r="A437" i="17"/>
  <c r="A433" i="17"/>
  <c r="A429" i="17"/>
  <c r="A424" i="17"/>
  <c r="A415" i="17"/>
  <c r="A406" i="17"/>
  <c r="A398" i="17"/>
  <c r="A390" i="17"/>
  <c r="A382" i="17"/>
  <c r="A374" i="17"/>
  <c r="A366" i="17"/>
  <c r="A358" i="17"/>
  <c r="A350" i="17"/>
  <c r="A341" i="17"/>
  <c r="A333" i="17"/>
  <c r="A325" i="17"/>
  <c r="A317" i="17"/>
  <c r="A309" i="17"/>
  <c r="A301" i="17"/>
  <c r="A293" i="17"/>
  <c r="A285" i="17"/>
  <c r="A277" i="17"/>
  <c r="A269" i="17"/>
  <c r="A261" i="17"/>
  <c r="A253" i="17"/>
  <c r="A245" i="17"/>
  <c r="A237" i="17"/>
  <c r="A229" i="17"/>
  <c r="A221" i="17"/>
  <c r="A213" i="17"/>
  <c r="A205" i="17"/>
  <c r="A196" i="17"/>
  <c r="A188" i="17"/>
  <c r="A180" i="17"/>
  <c r="A172" i="17"/>
  <c r="A164" i="17"/>
  <c r="A1038" i="17"/>
  <c r="A973" i="17"/>
  <c r="A909" i="17"/>
  <c r="A845" i="17"/>
  <c r="A821" i="17"/>
  <c r="A818" i="17"/>
  <c r="A805" i="17"/>
  <c r="A802" i="17"/>
  <c r="A789" i="17"/>
  <c r="A786" i="17"/>
  <c r="A758" i="17"/>
  <c r="A752" i="17"/>
  <c r="A749" i="17"/>
  <c r="A746" i="17"/>
  <c r="A740" i="17"/>
  <c r="A734" i="17"/>
  <c r="A723" i="17"/>
  <c r="A714" i="17"/>
  <c r="A706" i="17"/>
  <c r="A698" i="17"/>
  <c r="A690" i="17"/>
  <c r="A682" i="17"/>
  <c r="A674" i="17"/>
  <c r="A666" i="17"/>
  <c r="A658" i="17"/>
  <c r="A650" i="17"/>
  <c r="A642" i="17"/>
  <c r="A634" i="17"/>
  <c r="A626" i="17"/>
  <c r="A618" i="17"/>
  <c r="A610" i="17"/>
  <c r="A602" i="17"/>
  <c r="A594" i="17"/>
  <c r="A586" i="17"/>
  <c r="A578" i="17"/>
  <c r="A570" i="17"/>
  <c r="A562" i="17"/>
  <c r="A554" i="17"/>
  <c r="A546" i="17"/>
  <c r="A538" i="17"/>
  <c r="A530" i="17"/>
  <c r="A522" i="17"/>
  <c r="A514" i="17"/>
  <c r="A506" i="17"/>
  <c r="A498" i="17"/>
  <c r="A490" i="17"/>
  <c r="A482" i="17"/>
  <c r="A474" i="17"/>
  <c r="A466" i="17"/>
  <c r="A458" i="17"/>
  <c r="A450" i="17"/>
  <c r="A442" i="17"/>
  <c r="A420" i="17"/>
  <c r="A412" i="17"/>
  <c r="A403" i="17"/>
  <c r="A395" i="17"/>
  <c r="A387" i="17"/>
  <c r="A379" i="17"/>
  <c r="A371" i="17"/>
  <c r="A363" i="17"/>
  <c r="A355" i="17"/>
  <c r="A347" i="17"/>
  <c r="A338" i="17"/>
  <c r="A330" i="17"/>
  <c r="A322" i="17"/>
  <c r="A314" i="17"/>
  <c r="A306" i="17"/>
  <c r="A298" i="17"/>
  <c r="A290" i="17"/>
  <c r="A282" i="17"/>
  <c r="A274" i="17"/>
  <c r="A266" i="17"/>
  <c r="A258" i="17"/>
  <c r="A250" i="17"/>
  <c r="A242" i="17"/>
  <c r="A234" i="17"/>
  <c r="A226" i="17"/>
  <c r="A218" i="17"/>
  <c r="A210" i="17"/>
  <c r="A201" i="17"/>
  <c r="A193" i="17"/>
  <c r="A185" i="17"/>
  <c r="A177" i="17"/>
  <c r="A169" i="17"/>
  <c r="A161" i="17"/>
  <c r="A1022" i="17"/>
  <c r="A957" i="17"/>
  <c r="A893" i="17"/>
  <c r="A837" i="17"/>
  <c r="A742" i="17"/>
  <c r="A736" i="17"/>
  <c r="A725" i="17"/>
  <c r="A716" i="17"/>
  <c r="A708" i="17"/>
  <c r="A700" i="17"/>
  <c r="A692" i="17"/>
  <c r="A684" i="17"/>
  <c r="A676" i="17"/>
  <c r="A668" i="17"/>
  <c r="A660" i="17"/>
  <c r="A652" i="17"/>
  <c r="A644" i="17"/>
  <c r="A636" i="17"/>
  <c r="A628" i="17"/>
  <c r="A620" i="17"/>
  <c r="A612" i="17"/>
  <c r="A604" i="17"/>
  <c r="A596" i="17"/>
  <c r="A588" i="17"/>
  <c r="A580" i="17"/>
  <c r="A572" i="17"/>
  <c r="A564" i="17"/>
  <c r="A556" i="17"/>
  <c r="A548" i="17"/>
  <c r="A540" i="17"/>
  <c r="A532" i="17"/>
  <c r="A524" i="17"/>
  <c r="A516" i="17"/>
  <c r="A508" i="17"/>
  <c r="A500" i="17"/>
  <c r="A492" i="17"/>
  <c r="A484" i="17"/>
  <c r="A476" i="17"/>
  <c r="A468" i="17"/>
  <c r="A460" i="17"/>
  <c r="A452" i="17"/>
  <c r="A444" i="17"/>
  <c r="A436" i="17"/>
  <c r="A422" i="17"/>
  <c r="A414" i="17"/>
  <c r="A405" i="17"/>
  <c r="A397" i="17"/>
  <c r="A389" i="17"/>
  <c r="A381" i="17"/>
  <c r="A373" i="17"/>
  <c r="A365" i="17"/>
  <c r="A357" i="17"/>
  <c r="A349" i="17"/>
  <c r="A340" i="17"/>
  <c r="A332" i="17"/>
  <c r="A324" i="17"/>
  <c r="A316" i="17"/>
  <c r="A308" i="17"/>
  <c r="A300" i="17"/>
  <c r="A292" i="17"/>
  <c r="A284" i="17"/>
  <c r="A276" i="17"/>
  <c r="A268" i="17"/>
  <c r="A260" i="17"/>
  <c r="A252" i="17"/>
  <c r="A244" i="17"/>
  <c r="A236" i="17"/>
  <c r="A228" i="17"/>
  <c r="A220" i="17"/>
  <c r="A212" i="17"/>
  <c r="A204" i="17"/>
  <c r="A195" i="17"/>
  <c r="A187" i="17"/>
  <c r="A179" i="17"/>
  <c r="A171" i="17"/>
  <c r="A163" i="17"/>
  <c r="A36" i="17"/>
  <c r="A44" i="17"/>
  <c r="A52" i="17"/>
  <c r="A92" i="17"/>
  <c r="A100" i="17"/>
  <c r="A198" i="17"/>
  <c r="A231" i="17"/>
  <c r="A263" i="17"/>
  <c r="A428" i="17"/>
  <c r="A513" i="17"/>
  <c r="A705" i="17"/>
  <c r="A127" i="17"/>
  <c r="A18" i="17"/>
  <c r="A26" i="17"/>
  <c r="A74" i="17"/>
  <c r="A82" i="17"/>
  <c r="A90" i="17"/>
  <c r="A138" i="17"/>
  <c r="A146" i="17"/>
  <c r="A154" i="17"/>
  <c r="A400" i="17"/>
  <c r="A521" i="17"/>
  <c r="A553" i="17"/>
  <c r="A649" i="17"/>
  <c r="A713" i="17"/>
  <c r="A820" i="17"/>
  <c r="A1014" i="17"/>
  <c r="A5" i="17"/>
  <c r="A29" i="17"/>
  <c r="A37" i="17"/>
  <c r="A85" i="17"/>
  <c r="A101" i="17"/>
  <c r="A6" i="17"/>
  <c r="A14" i="17"/>
  <c r="A22" i="17"/>
  <c r="A30" i="17"/>
  <c r="A38" i="17"/>
  <c r="A46" i="17"/>
  <c r="A54" i="17"/>
  <c r="A62" i="17"/>
  <c r="A70" i="17"/>
  <c r="A78" i="17"/>
  <c r="A86" i="17"/>
  <c r="A94" i="17"/>
  <c r="A102" i="17"/>
  <c r="A110" i="17"/>
  <c r="A118" i="17"/>
  <c r="A126" i="17"/>
  <c r="A134" i="17"/>
  <c r="A142" i="17"/>
  <c r="A150" i="17"/>
  <c r="A158" i="17"/>
  <c r="A190" i="17"/>
  <c r="A223" i="17"/>
  <c r="A255" i="17"/>
  <c r="A287" i="17"/>
  <c r="A319" i="17"/>
  <c r="A352" i="17"/>
  <c r="A384" i="17"/>
  <c r="A417" i="17"/>
  <c r="A427" i="17"/>
  <c r="A432" i="17"/>
  <c r="A441" i="17"/>
  <c r="A473" i="17"/>
  <c r="A505" i="17"/>
  <c r="A537" i="17"/>
  <c r="A569" i="17"/>
  <c r="A601" i="17"/>
  <c r="A633" i="17"/>
  <c r="A665" i="17"/>
  <c r="A697" i="17"/>
  <c r="A730" i="17"/>
  <c r="A770" i="17"/>
  <c r="A788" i="17"/>
  <c r="A885" i="17"/>
  <c r="A15" i="17"/>
  <c r="A79" i="17"/>
  <c r="A95" i="17"/>
  <c r="A103" i="17"/>
  <c r="A143" i="17"/>
  <c r="A217" i="17"/>
  <c r="A10" i="17"/>
  <c r="A34" i="17"/>
  <c r="A42" i="17"/>
  <c r="A58" i="17"/>
  <c r="A66" i="17"/>
  <c r="A98" i="17"/>
  <c r="A106" i="17"/>
  <c r="A174" i="17"/>
  <c r="A207" i="17"/>
  <c r="A239" i="17"/>
  <c r="A303" i="17"/>
  <c r="A335" i="17"/>
  <c r="A457" i="17"/>
  <c r="A13" i="17"/>
  <c r="A21" i="17"/>
  <c r="A61" i="17"/>
  <c r="A77" i="17"/>
  <c r="A93" i="17"/>
  <c r="A9" i="17"/>
  <c r="A17" i="17"/>
  <c r="A25" i="17"/>
  <c r="A33" i="17"/>
  <c r="A41" i="17"/>
  <c r="A49" i="17"/>
  <c r="A57" i="17"/>
  <c r="A65" i="17"/>
  <c r="A73" i="17"/>
  <c r="A81" i="17"/>
  <c r="A89" i="17"/>
  <c r="A97" i="17"/>
  <c r="A105" i="17"/>
  <c r="A113" i="17"/>
  <c r="A121" i="17"/>
  <c r="A129" i="17"/>
  <c r="A137" i="17"/>
  <c r="A145" i="17"/>
  <c r="A153" i="17"/>
  <c r="A176" i="17"/>
  <c r="A209" i="17"/>
  <c r="A241" i="17"/>
  <c r="A273" i="17"/>
  <c r="A305" i="17"/>
  <c r="A337" i="17"/>
  <c r="A370" i="17"/>
  <c r="A402" i="17"/>
  <c r="A463" i="17"/>
  <c r="A495" i="17"/>
  <c r="A527" i="17"/>
  <c r="A559" i="17"/>
  <c r="A591" i="17"/>
  <c r="A623" i="17"/>
  <c r="A655" i="17"/>
  <c r="A687" i="17"/>
  <c r="A720" i="17"/>
  <c r="A760" i="17"/>
  <c r="A830" i="17"/>
  <c r="A901" i="17"/>
  <c r="B1" i="3" l="1"/>
  <c r="C1" i="3" l="1"/>
  <c r="A2" i="5" l="1"/>
  <c r="C14" i="6"/>
  <c r="C16" i="6"/>
  <c r="A3" i="17" s="1"/>
  <c r="B446" i="5" l="1"/>
  <c r="B445" i="5"/>
  <c r="B444" i="5"/>
  <c r="B443" i="5"/>
  <c r="B442" i="5"/>
  <c r="B441" i="5"/>
  <c r="B440" i="5"/>
  <c r="B438" i="5"/>
  <c r="B437" i="5"/>
  <c r="C432" i="5"/>
  <c r="B432" i="5"/>
  <c r="C431" i="5"/>
  <c r="B431" i="5"/>
  <c r="C430" i="5"/>
  <c r="B430" i="5"/>
  <c r="C429" i="5"/>
  <c r="B429" i="5"/>
  <c r="C428" i="5"/>
  <c r="B428" i="5"/>
  <c r="C427" i="5"/>
  <c r="B427" i="5"/>
  <c r="C426" i="5"/>
  <c r="B426" i="5"/>
  <c r="C425" i="5"/>
  <c r="B425" i="5"/>
  <c r="C424" i="5"/>
  <c r="B424" i="5"/>
  <c r="C423" i="5"/>
  <c r="B423" i="5"/>
  <c r="C422" i="5"/>
  <c r="B422" i="5"/>
  <c r="C421" i="5"/>
  <c r="B421" i="5"/>
  <c r="C420" i="5"/>
  <c r="B420" i="5"/>
  <c r="B1252" i="5"/>
  <c r="B1251" i="5"/>
  <c r="B1249" i="5"/>
  <c r="B1248" i="5"/>
  <c r="B1247" i="5"/>
  <c r="B1246" i="5"/>
  <c r="B1245" i="5"/>
  <c r="B1244" i="5"/>
  <c r="B1243" i="5"/>
  <c r="B1242" i="5"/>
  <c r="B1241" i="5"/>
  <c r="B1240" i="5"/>
  <c r="B1239" i="5"/>
  <c r="B1238" i="5"/>
  <c r="B1237" i="5"/>
  <c r="B1236" i="5"/>
  <c r="B1235" i="5"/>
  <c r="B1234" i="5"/>
  <c r="B1233" i="5"/>
  <c r="B1232" i="5"/>
  <c r="B1231" i="5"/>
  <c r="B1230" i="5"/>
  <c r="B1229" i="5"/>
  <c r="B1228" i="5"/>
  <c r="B1227" i="5"/>
  <c r="B1226" i="5"/>
  <c r="B1225" i="5"/>
  <c r="B1224" i="5"/>
  <c r="B1223" i="5"/>
  <c r="B1222" i="5"/>
  <c r="B1221" i="5"/>
  <c r="B1220" i="5"/>
  <c r="B1219" i="5"/>
  <c r="B1218" i="5"/>
  <c r="B1217" i="5"/>
  <c r="B1216" i="5"/>
  <c r="B1215" i="5"/>
  <c r="B1214" i="5"/>
  <c r="B1213" i="5"/>
  <c r="B1212" i="5"/>
  <c r="B1211" i="5"/>
  <c r="B1210" i="5"/>
  <c r="B1209" i="5"/>
  <c r="B1208" i="5"/>
  <c r="B1207" i="5"/>
  <c r="B1206" i="5"/>
  <c r="B1205" i="5"/>
  <c r="B1204" i="5"/>
  <c r="B1203" i="5"/>
  <c r="B1202" i="5"/>
  <c r="B1201" i="5"/>
  <c r="B1200" i="5"/>
  <c r="B1199" i="5"/>
  <c r="B1198" i="5"/>
  <c r="B1197" i="5"/>
  <c r="B1196" i="5"/>
  <c r="B1195" i="5"/>
  <c r="B1194" i="5"/>
  <c r="B1193" i="5"/>
  <c r="B1192" i="5"/>
  <c r="B1191" i="5"/>
  <c r="B1190" i="5"/>
  <c r="B1189" i="5"/>
  <c r="B1188" i="5"/>
  <c r="B1187" i="5"/>
  <c r="B1186" i="5"/>
  <c r="B1185" i="5"/>
  <c r="B1184" i="5"/>
  <c r="B1183" i="5"/>
  <c r="B1182" i="5"/>
  <c r="B1181" i="5"/>
  <c r="B1180" i="5"/>
  <c r="B1179" i="5"/>
  <c r="B1178" i="5"/>
  <c r="B1177" i="5"/>
  <c r="B1176" i="5"/>
  <c r="B1175" i="5"/>
  <c r="B1174" i="5"/>
  <c r="B1173" i="5"/>
  <c r="B1172" i="5"/>
  <c r="B1171" i="5"/>
  <c r="B1170" i="5"/>
  <c r="B1169" i="5"/>
  <c r="B1168" i="5"/>
  <c r="B1167" i="5"/>
  <c r="B1166" i="5"/>
  <c r="B1165" i="5"/>
  <c r="B1164" i="5"/>
  <c r="B1163" i="5"/>
  <c r="B1162" i="5"/>
  <c r="B1161" i="5"/>
  <c r="B1160" i="5"/>
  <c r="B1159" i="5"/>
  <c r="B1158" i="5"/>
  <c r="B1157" i="5"/>
  <c r="B1156" i="5"/>
  <c r="B1155" i="5"/>
  <c r="B1154" i="5"/>
  <c r="B1153" i="5"/>
  <c r="B1152" i="5"/>
  <c r="B1151" i="5"/>
  <c r="B1150" i="5"/>
  <c r="B1149" i="5"/>
  <c r="B1148" i="5"/>
  <c r="B1147" i="5"/>
  <c r="B1146" i="5"/>
  <c r="B1145" i="5"/>
  <c r="B1144" i="5"/>
  <c r="B1143" i="5"/>
  <c r="B1142" i="5"/>
  <c r="B1141" i="5"/>
  <c r="B1140" i="5"/>
  <c r="B1139" i="5"/>
  <c r="B1138" i="5"/>
  <c r="B1137" i="5"/>
  <c r="B1136" i="5"/>
  <c r="B1135" i="5"/>
  <c r="B1134" i="5"/>
  <c r="B1133" i="5"/>
  <c r="B1132" i="5"/>
  <c r="B1131" i="5"/>
  <c r="B1130" i="5"/>
  <c r="B1129" i="5"/>
  <c r="B1128" i="5"/>
  <c r="B1127" i="5"/>
  <c r="B1126" i="5"/>
  <c r="B1125" i="5"/>
  <c r="B1124" i="5"/>
  <c r="B1123" i="5"/>
  <c r="B1122" i="5"/>
  <c r="B1121" i="5"/>
  <c r="B1120" i="5"/>
  <c r="B1119" i="5"/>
  <c r="B1118" i="5"/>
  <c r="B1117" i="5"/>
  <c r="B1116" i="5"/>
  <c r="B1115" i="5"/>
  <c r="B1114" i="5"/>
  <c r="B1113" i="5"/>
  <c r="B1112" i="5"/>
  <c r="B1111" i="5"/>
  <c r="B1110" i="5"/>
  <c r="B1109" i="5"/>
  <c r="B1108" i="5"/>
  <c r="B1107" i="5"/>
  <c r="B1106" i="5"/>
  <c r="B1105" i="5"/>
  <c r="B1104" i="5"/>
  <c r="B1103" i="5"/>
  <c r="B1102" i="5"/>
  <c r="B1101" i="5"/>
  <c r="B1100" i="5"/>
  <c r="B1099" i="5"/>
  <c r="B1098" i="5"/>
  <c r="B1097" i="5"/>
  <c r="B1096" i="5"/>
  <c r="B1095" i="5"/>
  <c r="B1094" i="5"/>
  <c r="B1093" i="5"/>
  <c r="B1092" i="5"/>
  <c r="B1091" i="5"/>
  <c r="B1090" i="5"/>
  <c r="B1089" i="5"/>
  <c r="B1088" i="5"/>
  <c r="B1087" i="5"/>
  <c r="B1086" i="5"/>
  <c r="B1085" i="5"/>
  <c r="B1084" i="5"/>
  <c r="B1083" i="5"/>
  <c r="B1082" i="5"/>
  <c r="B1081" i="5"/>
  <c r="B1080" i="5"/>
  <c r="B1079" i="5"/>
  <c r="B1078" i="5"/>
  <c r="B1077" i="5"/>
  <c r="B1076" i="5"/>
  <c r="B1075" i="5"/>
  <c r="B1074" i="5"/>
  <c r="B1073" i="5"/>
  <c r="B1072" i="5"/>
  <c r="B1071" i="5"/>
  <c r="B1070" i="5"/>
  <c r="C1062" i="5"/>
  <c r="B1062" i="5"/>
  <c r="C1061" i="5"/>
  <c r="B1061" i="5"/>
  <c r="C1060" i="5"/>
  <c r="B1060" i="5"/>
  <c r="C1058" i="5"/>
  <c r="B1058" i="5"/>
  <c r="C1057" i="5"/>
  <c r="B1057" i="5"/>
  <c r="C1056" i="5"/>
  <c r="B1056" i="5"/>
  <c r="C1054" i="5"/>
  <c r="B1054" i="5"/>
  <c r="C1053" i="5"/>
  <c r="B1053" i="5"/>
  <c r="C1052" i="5"/>
  <c r="B1052" i="5"/>
  <c r="C1050" i="5"/>
  <c r="B1050" i="5"/>
  <c r="C1049" i="5"/>
  <c r="B1049" i="5"/>
  <c r="C1048" i="5"/>
  <c r="B1048" i="5"/>
  <c r="C1046" i="5"/>
  <c r="B1046" i="5"/>
  <c r="C1045" i="5"/>
  <c r="B1045" i="5"/>
  <c r="C1044" i="5"/>
  <c r="B1044" i="5"/>
  <c r="C1042" i="5"/>
  <c r="B1042" i="5"/>
  <c r="C1041" i="5"/>
  <c r="B1041" i="5"/>
  <c r="C1040" i="5"/>
  <c r="B1040" i="5"/>
  <c r="C1038" i="5"/>
  <c r="B1038" i="5"/>
  <c r="C1037" i="5"/>
  <c r="B1037" i="5"/>
  <c r="C1036" i="5"/>
  <c r="B1036" i="5"/>
  <c r="C1034" i="5"/>
  <c r="B1034" i="5"/>
  <c r="C1033" i="5"/>
  <c r="B1033" i="5"/>
  <c r="C1032" i="5"/>
  <c r="B1032" i="5"/>
  <c r="C1030" i="5"/>
  <c r="B1030" i="5"/>
  <c r="C1029" i="5"/>
  <c r="B1029" i="5"/>
  <c r="C1028" i="5"/>
  <c r="B1028" i="5"/>
  <c r="C1020" i="5"/>
  <c r="B1020" i="5"/>
  <c r="C1019" i="5"/>
  <c r="B1019" i="5"/>
  <c r="C1018" i="5"/>
  <c r="B1018" i="5"/>
  <c r="C1016" i="5"/>
  <c r="B1016" i="5"/>
  <c r="C1015" i="5"/>
  <c r="B1015" i="5"/>
  <c r="C1014" i="5"/>
  <c r="B1014" i="5"/>
  <c r="C1012" i="5"/>
  <c r="B1012" i="5"/>
  <c r="C1011" i="5"/>
  <c r="B1011" i="5"/>
  <c r="C1010" i="5"/>
  <c r="B1010" i="5"/>
  <c r="C1008" i="5"/>
  <c r="B1008" i="5"/>
  <c r="C1007" i="5"/>
  <c r="B1007" i="5"/>
  <c r="C1006" i="5"/>
  <c r="B1006" i="5"/>
  <c r="C1004" i="5"/>
  <c r="B1004" i="5"/>
  <c r="C1003" i="5"/>
  <c r="B1003" i="5"/>
  <c r="C1002" i="5"/>
  <c r="B1002" i="5"/>
  <c r="C1000" i="5"/>
  <c r="B1000" i="5"/>
  <c r="C999" i="5"/>
  <c r="B999" i="5"/>
  <c r="C998" i="5"/>
  <c r="B998" i="5"/>
  <c r="C996" i="5"/>
  <c r="B996" i="5"/>
  <c r="C995" i="5"/>
  <c r="B995" i="5"/>
  <c r="C994" i="5"/>
  <c r="B994" i="5"/>
  <c r="C992" i="5"/>
  <c r="B992" i="5"/>
  <c r="C991" i="5"/>
  <c r="B991" i="5"/>
  <c r="C990" i="5"/>
  <c r="B990" i="5"/>
  <c r="C988" i="5"/>
  <c r="B988" i="5"/>
  <c r="C987" i="5"/>
  <c r="B987" i="5"/>
  <c r="C986" i="5"/>
  <c r="B986" i="5"/>
  <c r="C984" i="5"/>
  <c r="B984" i="5"/>
  <c r="C983" i="5"/>
  <c r="B983" i="5"/>
  <c r="C982" i="5"/>
  <c r="B982" i="5"/>
  <c r="C980" i="5"/>
  <c r="B980" i="5"/>
  <c r="C979" i="5"/>
  <c r="B979" i="5"/>
  <c r="C978" i="5"/>
  <c r="B978" i="5"/>
  <c r="C976" i="5"/>
  <c r="B976" i="5"/>
  <c r="C975" i="5"/>
  <c r="B975" i="5"/>
  <c r="C974" i="5"/>
  <c r="B974" i="5"/>
  <c r="C972" i="5"/>
  <c r="B972" i="5"/>
  <c r="C971" i="5"/>
  <c r="B971" i="5"/>
  <c r="C970" i="5"/>
  <c r="B970" i="5"/>
  <c r="C968" i="5"/>
  <c r="B968" i="5"/>
  <c r="C967" i="5"/>
  <c r="B967" i="5"/>
  <c r="C966" i="5"/>
  <c r="B966" i="5"/>
  <c r="C963" i="5"/>
  <c r="B963" i="5"/>
  <c r="C962" i="5"/>
  <c r="B962" i="5"/>
  <c r="C961" i="5"/>
  <c r="B961" i="5"/>
  <c r="C959" i="5"/>
  <c r="B959" i="5"/>
  <c r="C958" i="5"/>
  <c r="B958" i="5"/>
  <c r="C957" i="5"/>
  <c r="B957" i="5"/>
  <c r="C955" i="5"/>
  <c r="B955" i="5"/>
  <c r="C954" i="5"/>
  <c r="B954" i="5"/>
  <c r="C953" i="5"/>
  <c r="B953" i="5"/>
  <c r="C951" i="5"/>
  <c r="B951" i="5"/>
  <c r="C950" i="5"/>
  <c r="B950" i="5"/>
  <c r="C949" i="5"/>
  <c r="B949" i="5"/>
  <c r="C947" i="5"/>
  <c r="B947" i="5"/>
  <c r="C946" i="5"/>
  <c r="B946" i="5"/>
  <c r="C945" i="5"/>
  <c r="B945" i="5"/>
  <c r="C943" i="5"/>
  <c r="B943" i="5"/>
  <c r="C942" i="5"/>
  <c r="B942" i="5"/>
  <c r="C941" i="5"/>
  <c r="B941" i="5"/>
  <c r="C939" i="5"/>
  <c r="B939" i="5"/>
  <c r="C938" i="5"/>
  <c r="B938" i="5"/>
  <c r="C937" i="5"/>
  <c r="B937" i="5"/>
  <c r="C935" i="5"/>
  <c r="B935" i="5"/>
  <c r="C934" i="5"/>
  <c r="B934" i="5"/>
  <c r="C933" i="5"/>
  <c r="B933" i="5"/>
  <c r="C931" i="5"/>
  <c r="B931" i="5"/>
  <c r="C930" i="5"/>
  <c r="B930" i="5"/>
  <c r="C929" i="5"/>
  <c r="B929" i="5"/>
  <c r="C927" i="5"/>
  <c r="B927" i="5"/>
  <c r="C926" i="5"/>
  <c r="B926" i="5"/>
  <c r="C925" i="5"/>
  <c r="B925" i="5"/>
  <c r="C923" i="5"/>
  <c r="B923" i="5"/>
  <c r="C922" i="5"/>
  <c r="B922" i="5"/>
  <c r="C921" i="5"/>
  <c r="B921" i="5"/>
  <c r="C919" i="5"/>
  <c r="B919" i="5"/>
  <c r="C918" i="5"/>
  <c r="B918" i="5"/>
  <c r="C917" i="5"/>
  <c r="B917" i="5"/>
  <c r="C915" i="5"/>
  <c r="B915" i="5"/>
  <c r="C914" i="5"/>
  <c r="B914" i="5"/>
  <c r="C913" i="5"/>
  <c r="B913" i="5"/>
  <c r="C911" i="5"/>
  <c r="B911" i="5"/>
  <c r="C910" i="5"/>
  <c r="B910" i="5"/>
  <c r="C909" i="5"/>
  <c r="B909" i="5"/>
  <c r="C906" i="5"/>
  <c r="B906" i="5"/>
  <c r="C905" i="5"/>
  <c r="B905" i="5"/>
  <c r="C904" i="5"/>
  <c r="B904" i="5"/>
  <c r="C902" i="5"/>
  <c r="B902" i="5"/>
  <c r="C901" i="5"/>
  <c r="B901" i="5"/>
  <c r="C900" i="5"/>
  <c r="B900" i="5"/>
  <c r="C898" i="5"/>
  <c r="B898" i="5"/>
  <c r="C897" i="5"/>
  <c r="B897" i="5"/>
  <c r="C896" i="5"/>
  <c r="B896" i="5"/>
  <c r="C894" i="5"/>
  <c r="B894" i="5"/>
  <c r="C893" i="5"/>
  <c r="B893" i="5"/>
  <c r="C892" i="5"/>
  <c r="B892" i="5"/>
  <c r="C890" i="5"/>
  <c r="B890" i="5"/>
  <c r="C889" i="5"/>
  <c r="B889" i="5"/>
  <c r="C888" i="5"/>
  <c r="B888" i="5"/>
  <c r="C886" i="5"/>
  <c r="B886" i="5"/>
  <c r="C885" i="5"/>
  <c r="B885" i="5"/>
  <c r="C884" i="5"/>
  <c r="B884" i="5"/>
  <c r="C882" i="5"/>
  <c r="B882" i="5"/>
  <c r="C881" i="5"/>
  <c r="B881" i="5"/>
  <c r="C880" i="5"/>
  <c r="B880" i="5"/>
  <c r="C878" i="5"/>
  <c r="B878" i="5"/>
  <c r="C877" i="5"/>
  <c r="B877" i="5"/>
  <c r="C876" i="5"/>
  <c r="B876" i="5"/>
  <c r="C874" i="5"/>
  <c r="B874" i="5"/>
  <c r="C873" i="5"/>
  <c r="B873" i="5"/>
  <c r="C872" i="5"/>
  <c r="B872" i="5"/>
  <c r="C870" i="5"/>
  <c r="B870" i="5"/>
  <c r="C869" i="5"/>
  <c r="B869" i="5"/>
  <c r="C868" i="5"/>
  <c r="B868" i="5"/>
  <c r="C866" i="5"/>
  <c r="B866" i="5"/>
  <c r="C865" i="5"/>
  <c r="B865" i="5"/>
  <c r="C864" i="5"/>
  <c r="B864" i="5"/>
  <c r="C862" i="5"/>
  <c r="B862" i="5"/>
  <c r="C861" i="5"/>
  <c r="B861" i="5"/>
  <c r="C860" i="5"/>
  <c r="B860" i="5"/>
  <c r="C858" i="5"/>
  <c r="B858" i="5"/>
  <c r="C857" i="5"/>
  <c r="B857" i="5"/>
  <c r="C856" i="5"/>
  <c r="B856" i="5"/>
  <c r="C854" i="5"/>
  <c r="B854" i="5"/>
  <c r="C853" i="5"/>
  <c r="B853" i="5"/>
  <c r="C852" i="5"/>
  <c r="B852" i="5"/>
  <c r="C849" i="5"/>
  <c r="B849" i="5"/>
  <c r="C848" i="5"/>
  <c r="B848" i="5"/>
  <c r="C847" i="5"/>
  <c r="B847" i="5"/>
  <c r="C845" i="5"/>
  <c r="B845" i="5"/>
  <c r="C844" i="5"/>
  <c r="B844" i="5"/>
  <c r="C843" i="5"/>
  <c r="B843" i="5"/>
  <c r="C841" i="5"/>
  <c r="B841" i="5"/>
  <c r="C840" i="5"/>
  <c r="B840" i="5"/>
  <c r="C839" i="5"/>
  <c r="B839" i="5"/>
  <c r="C837" i="5"/>
  <c r="B837" i="5"/>
  <c r="C836" i="5"/>
  <c r="B836" i="5"/>
  <c r="C835" i="5"/>
  <c r="B835" i="5"/>
  <c r="C833" i="5"/>
  <c r="B833" i="5"/>
  <c r="C832" i="5"/>
  <c r="B832" i="5"/>
  <c r="C831" i="5"/>
  <c r="B831" i="5"/>
  <c r="C829" i="5"/>
  <c r="B829" i="5"/>
  <c r="C828" i="5"/>
  <c r="B828" i="5"/>
  <c r="C827" i="5"/>
  <c r="B827" i="5"/>
  <c r="C825" i="5"/>
  <c r="B825" i="5"/>
  <c r="C824" i="5"/>
  <c r="B824" i="5"/>
  <c r="C823" i="5"/>
  <c r="B823" i="5"/>
  <c r="C821" i="5"/>
  <c r="B821" i="5"/>
  <c r="C820" i="5"/>
  <c r="B820" i="5"/>
  <c r="C819" i="5"/>
  <c r="B819" i="5"/>
  <c r="C817" i="5"/>
  <c r="B817" i="5"/>
  <c r="C816" i="5"/>
  <c r="B816" i="5"/>
  <c r="C815" i="5"/>
  <c r="B815" i="5"/>
  <c r="C813" i="5"/>
  <c r="B813" i="5"/>
  <c r="C812" i="5"/>
  <c r="B812" i="5"/>
  <c r="C811" i="5"/>
  <c r="B811" i="5"/>
  <c r="C809" i="5"/>
  <c r="B809" i="5"/>
  <c r="C808" i="5"/>
  <c r="B808" i="5"/>
  <c r="C807" i="5"/>
  <c r="B807" i="5"/>
  <c r="C805" i="5"/>
  <c r="B805" i="5"/>
  <c r="C804" i="5"/>
  <c r="B804" i="5"/>
  <c r="C803" i="5"/>
  <c r="B803" i="5"/>
  <c r="C801" i="5"/>
  <c r="B801" i="5"/>
  <c r="C800" i="5"/>
  <c r="B800" i="5"/>
  <c r="C799" i="5"/>
  <c r="B799" i="5"/>
  <c r="C797" i="5"/>
  <c r="B797" i="5"/>
  <c r="C796" i="5"/>
  <c r="B796" i="5"/>
  <c r="C795" i="5"/>
  <c r="B795" i="5"/>
  <c r="C792" i="5"/>
  <c r="B792" i="5"/>
  <c r="C791" i="5"/>
  <c r="B791" i="5"/>
  <c r="C790" i="5"/>
  <c r="B790" i="5"/>
  <c r="C788" i="5"/>
  <c r="B788" i="5"/>
  <c r="C787" i="5"/>
  <c r="B787" i="5"/>
  <c r="C786" i="5"/>
  <c r="B786" i="5"/>
  <c r="C784" i="5"/>
  <c r="B784" i="5"/>
  <c r="C783" i="5"/>
  <c r="B783" i="5"/>
  <c r="C782" i="5"/>
  <c r="B782" i="5"/>
  <c r="C780" i="5"/>
  <c r="B780" i="5"/>
  <c r="C779" i="5"/>
  <c r="B779" i="5"/>
  <c r="C778" i="5"/>
  <c r="B778" i="5"/>
  <c r="C776" i="5"/>
  <c r="B776" i="5"/>
  <c r="C775" i="5"/>
  <c r="B775" i="5"/>
  <c r="C774" i="5"/>
  <c r="B774" i="5"/>
  <c r="C772" i="5"/>
  <c r="B772" i="5"/>
  <c r="C771" i="5"/>
  <c r="B771" i="5"/>
  <c r="C770" i="5"/>
  <c r="B770" i="5"/>
  <c r="C768" i="5"/>
  <c r="B768" i="5"/>
  <c r="C767" i="5"/>
  <c r="B767" i="5"/>
  <c r="C766" i="5"/>
  <c r="B766" i="5"/>
  <c r="C764" i="5"/>
  <c r="B764" i="5"/>
  <c r="C763" i="5"/>
  <c r="B763" i="5"/>
  <c r="C762" i="5"/>
  <c r="B762" i="5"/>
  <c r="C760" i="5"/>
  <c r="B760" i="5"/>
  <c r="C759" i="5"/>
  <c r="B759" i="5"/>
  <c r="C758" i="5"/>
  <c r="B758" i="5"/>
  <c r="C756" i="5"/>
  <c r="B756" i="5"/>
  <c r="C755" i="5"/>
  <c r="B755" i="5"/>
  <c r="C754" i="5"/>
  <c r="B754" i="5"/>
  <c r="C752" i="5"/>
  <c r="B752" i="5"/>
  <c r="C751" i="5"/>
  <c r="B751" i="5"/>
  <c r="C750" i="5"/>
  <c r="B750" i="5"/>
  <c r="C748" i="5"/>
  <c r="B748" i="5"/>
  <c r="C747" i="5"/>
  <c r="B747" i="5"/>
  <c r="C746" i="5"/>
  <c r="B746" i="5"/>
  <c r="C744" i="5"/>
  <c r="B744" i="5"/>
  <c r="C743" i="5"/>
  <c r="B743" i="5"/>
  <c r="C742" i="5"/>
  <c r="B742" i="5"/>
  <c r="C740" i="5"/>
  <c r="B740" i="5"/>
  <c r="C739" i="5"/>
  <c r="B739" i="5"/>
  <c r="C738" i="5"/>
  <c r="B738" i="5"/>
  <c r="C730" i="5"/>
  <c r="B730" i="5"/>
  <c r="C729" i="5"/>
  <c r="B729" i="5"/>
  <c r="C728" i="5"/>
  <c r="B728" i="5"/>
  <c r="C726" i="5"/>
  <c r="B726" i="5"/>
  <c r="C725" i="5"/>
  <c r="B725" i="5"/>
  <c r="C724" i="5"/>
  <c r="B724" i="5"/>
  <c r="C722" i="5"/>
  <c r="B722" i="5"/>
  <c r="C721" i="5"/>
  <c r="B721" i="5"/>
  <c r="C720" i="5"/>
  <c r="B720" i="5"/>
  <c r="C718" i="5"/>
  <c r="B718" i="5"/>
  <c r="C717" i="5"/>
  <c r="B717" i="5"/>
  <c r="C716" i="5"/>
  <c r="B716" i="5"/>
  <c r="C714" i="5"/>
  <c r="B714" i="5"/>
  <c r="C713" i="5"/>
  <c r="B713" i="5"/>
  <c r="C712" i="5"/>
  <c r="B712" i="5"/>
  <c r="C710" i="5"/>
  <c r="B710" i="5"/>
  <c r="C709" i="5"/>
  <c r="B709" i="5"/>
  <c r="C708" i="5"/>
  <c r="B708" i="5"/>
  <c r="C706" i="5"/>
  <c r="B706" i="5"/>
  <c r="C705" i="5"/>
  <c r="B705" i="5"/>
  <c r="C704" i="5"/>
  <c r="B704" i="5"/>
  <c r="C702" i="5"/>
  <c r="B702" i="5"/>
  <c r="C701" i="5"/>
  <c r="B701" i="5"/>
  <c r="C700" i="5"/>
  <c r="B700" i="5"/>
  <c r="C698" i="5"/>
  <c r="B698" i="5"/>
  <c r="C697" i="5"/>
  <c r="B697" i="5"/>
  <c r="C696" i="5"/>
  <c r="B696" i="5"/>
  <c r="C694" i="5"/>
  <c r="B694" i="5"/>
  <c r="C693" i="5"/>
  <c r="B693" i="5"/>
  <c r="C692" i="5"/>
  <c r="B692" i="5"/>
  <c r="C690" i="5"/>
  <c r="B690" i="5"/>
  <c r="C689" i="5"/>
  <c r="B689" i="5"/>
  <c r="C688" i="5"/>
  <c r="B688" i="5"/>
  <c r="C686" i="5"/>
  <c r="B686" i="5"/>
  <c r="C685" i="5"/>
  <c r="B685" i="5"/>
  <c r="C684" i="5"/>
  <c r="B684" i="5"/>
  <c r="C682" i="5"/>
  <c r="B682" i="5"/>
  <c r="C681" i="5"/>
  <c r="B681" i="5"/>
  <c r="C680" i="5"/>
  <c r="B680" i="5"/>
  <c r="C678" i="5"/>
  <c r="B678" i="5"/>
  <c r="C677" i="5"/>
  <c r="B677" i="5"/>
  <c r="C676" i="5"/>
  <c r="B676" i="5"/>
  <c r="C673" i="5"/>
  <c r="B673" i="5"/>
  <c r="C672" i="5"/>
  <c r="B672" i="5"/>
  <c r="C671" i="5"/>
  <c r="B671" i="5"/>
  <c r="C669" i="5"/>
  <c r="B669" i="5"/>
  <c r="C668" i="5"/>
  <c r="B668" i="5"/>
  <c r="C667" i="5"/>
  <c r="B667" i="5"/>
  <c r="C665" i="5"/>
  <c r="B665" i="5"/>
  <c r="C664" i="5"/>
  <c r="B664" i="5"/>
  <c r="C663" i="5"/>
  <c r="B663" i="5"/>
  <c r="C661" i="5"/>
  <c r="B661" i="5"/>
  <c r="C660" i="5"/>
  <c r="B660" i="5"/>
  <c r="C659" i="5"/>
  <c r="B659" i="5"/>
  <c r="C657" i="5"/>
  <c r="B657" i="5"/>
  <c r="C656" i="5"/>
  <c r="B656" i="5"/>
  <c r="C655" i="5"/>
  <c r="B655" i="5"/>
  <c r="C653" i="5"/>
  <c r="B653" i="5"/>
  <c r="C652" i="5"/>
  <c r="B652" i="5"/>
  <c r="C651" i="5"/>
  <c r="B651" i="5"/>
  <c r="C649" i="5"/>
  <c r="B649" i="5"/>
  <c r="C648" i="5"/>
  <c r="B648" i="5"/>
  <c r="C647" i="5"/>
  <c r="B647" i="5"/>
  <c r="C645" i="5"/>
  <c r="B645" i="5"/>
  <c r="C644" i="5"/>
  <c r="B644" i="5"/>
  <c r="C643" i="5"/>
  <c r="B643" i="5"/>
  <c r="C641" i="5"/>
  <c r="B641" i="5"/>
  <c r="C640" i="5"/>
  <c r="B640" i="5"/>
  <c r="C639" i="5"/>
  <c r="B639" i="5"/>
  <c r="C637" i="5"/>
  <c r="B637" i="5"/>
  <c r="C636" i="5"/>
  <c r="B636" i="5"/>
  <c r="C635" i="5"/>
  <c r="B635" i="5"/>
  <c r="C633" i="5"/>
  <c r="B633" i="5"/>
  <c r="C632" i="5"/>
  <c r="B632" i="5"/>
  <c r="C631" i="5"/>
  <c r="B631" i="5"/>
  <c r="C629" i="5"/>
  <c r="B629" i="5"/>
  <c r="C628" i="5"/>
  <c r="B628" i="5"/>
  <c r="C627" i="5"/>
  <c r="B627" i="5"/>
  <c r="C625" i="5"/>
  <c r="B625" i="5"/>
  <c r="C624" i="5"/>
  <c r="B624" i="5"/>
  <c r="C623" i="5"/>
  <c r="B623" i="5"/>
  <c r="C621" i="5"/>
  <c r="B621" i="5"/>
  <c r="C620" i="5"/>
  <c r="B620" i="5"/>
  <c r="C619" i="5"/>
  <c r="B619" i="5"/>
  <c r="C616" i="5"/>
  <c r="B616" i="5"/>
  <c r="C615" i="5"/>
  <c r="B615" i="5"/>
  <c r="C614" i="5"/>
  <c r="B614" i="5"/>
  <c r="C612" i="5"/>
  <c r="B612" i="5"/>
  <c r="C611" i="5"/>
  <c r="B611" i="5"/>
  <c r="C610" i="5"/>
  <c r="B610" i="5"/>
  <c r="C608" i="5"/>
  <c r="B608" i="5"/>
  <c r="C607" i="5"/>
  <c r="B607" i="5"/>
  <c r="C606" i="5"/>
  <c r="B606" i="5"/>
  <c r="C604" i="5"/>
  <c r="B604" i="5"/>
  <c r="C603" i="5"/>
  <c r="B603" i="5"/>
  <c r="C602" i="5"/>
  <c r="B602" i="5"/>
  <c r="C600" i="5"/>
  <c r="B600" i="5"/>
  <c r="C599" i="5"/>
  <c r="B599" i="5"/>
  <c r="C598" i="5"/>
  <c r="B598" i="5"/>
  <c r="C596" i="5"/>
  <c r="B596" i="5"/>
  <c r="C595" i="5"/>
  <c r="B595" i="5"/>
  <c r="C594" i="5"/>
  <c r="B594" i="5"/>
  <c r="C592" i="5"/>
  <c r="B592" i="5"/>
  <c r="C591" i="5"/>
  <c r="B591" i="5"/>
  <c r="C590" i="5"/>
  <c r="B590" i="5"/>
  <c r="C588" i="5"/>
  <c r="B588" i="5"/>
  <c r="C587" i="5"/>
  <c r="B587" i="5"/>
  <c r="C586" i="5"/>
  <c r="B586" i="5"/>
  <c r="C584" i="5"/>
  <c r="B584" i="5"/>
  <c r="C583" i="5"/>
  <c r="B583" i="5"/>
  <c r="C582" i="5"/>
  <c r="B582" i="5"/>
  <c r="C580" i="5"/>
  <c r="B580" i="5"/>
  <c r="C579" i="5"/>
  <c r="B579" i="5"/>
  <c r="C578" i="5"/>
  <c r="B578" i="5"/>
  <c r="C576" i="5"/>
  <c r="B576" i="5"/>
  <c r="C575" i="5"/>
  <c r="B575" i="5"/>
  <c r="C574" i="5"/>
  <c r="B574" i="5"/>
  <c r="C572" i="5"/>
  <c r="B572" i="5"/>
  <c r="C571" i="5"/>
  <c r="B571" i="5"/>
  <c r="C570" i="5"/>
  <c r="B570" i="5"/>
  <c r="C568" i="5"/>
  <c r="B568" i="5"/>
  <c r="C567" i="5"/>
  <c r="B567" i="5"/>
  <c r="C566" i="5"/>
  <c r="B566" i="5"/>
  <c r="C564" i="5"/>
  <c r="B564" i="5"/>
  <c r="C563" i="5"/>
  <c r="B563" i="5"/>
  <c r="C562" i="5"/>
  <c r="B562" i="5"/>
  <c r="C559" i="5"/>
  <c r="B559" i="5"/>
  <c r="C558" i="5"/>
  <c r="B558" i="5"/>
  <c r="C557" i="5"/>
  <c r="B557" i="5"/>
  <c r="C555" i="5"/>
  <c r="B555" i="5"/>
  <c r="C554" i="5"/>
  <c r="B554" i="5"/>
  <c r="C553" i="5"/>
  <c r="B553" i="5"/>
  <c r="C551" i="5"/>
  <c r="B551" i="5"/>
  <c r="C550" i="5"/>
  <c r="B550" i="5"/>
  <c r="C549" i="5"/>
  <c r="B549" i="5"/>
  <c r="C547" i="5"/>
  <c r="B547" i="5"/>
  <c r="C546" i="5"/>
  <c r="B546" i="5"/>
  <c r="C545" i="5"/>
  <c r="B545" i="5"/>
  <c r="C543" i="5"/>
  <c r="B543" i="5"/>
  <c r="C542" i="5"/>
  <c r="B542" i="5"/>
  <c r="C541" i="5"/>
  <c r="B541" i="5"/>
  <c r="C539" i="5"/>
  <c r="B539" i="5"/>
  <c r="C538" i="5"/>
  <c r="B538" i="5"/>
  <c r="C537" i="5"/>
  <c r="B537" i="5"/>
  <c r="C535" i="5"/>
  <c r="B535" i="5"/>
  <c r="C534" i="5"/>
  <c r="B534" i="5"/>
  <c r="C533" i="5"/>
  <c r="B533" i="5"/>
  <c r="C531" i="5"/>
  <c r="B531" i="5"/>
  <c r="C530" i="5"/>
  <c r="B530" i="5"/>
  <c r="C529" i="5"/>
  <c r="B529" i="5"/>
  <c r="C527" i="5"/>
  <c r="B527" i="5"/>
  <c r="C526" i="5"/>
  <c r="B526" i="5"/>
  <c r="C525" i="5"/>
  <c r="B525" i="5"/>
  <c r="C523" i="5"/>
  <c r="B523" i="5"/>
  <c r="C522" i="5"/>
  <c r="B522" i="5"/>
  <c r="C521" i="5"/>
  <c r="B521" i="5"/>
  <c r="C519" i="5"/>
  <c r="B519" i="5"/>
  <c r="C518" i="5"/>
  <c r="B518" i="5"/>
  <c r="C517" i="5"/>
  <c r="B517" i="5"/>
  <c r="C515" i="5"/>
  <c r="B515" i="5"/>
  <c r="C514" i="5"/>
  <c r="B514" i="5"/>
  <c r="C513" i="5"/>
  <c r="B513" i="5"/>
  <c r="C511" i="5"/>
  <c r="B511" i="5"/>
  <c r="C510" i="5"/>
  <c r="B510" i="5"/>
  <c r="C509" i="5"/>
  <c r="B509" i="5"/>
  <c r="C507" i="5"/>
  <c r="B507" i="5"/>
  <c r="C506" i="5"/>
  <c r="B506" i="5"/>
  <c r="C505" i="5"/>
  <c r="B505" i="5"/>
  <c r="C502" i="5"/>
  <c r="B502" i="5"/>
  <c r="C501" i="5"/>
  <c r="B501" i="5"/>
  <c r="C500" i="5"/>
  <c r="B500" i="5"/>
  <c r="C498" i="5"/>
  <c r="B498" i="5"/>
  <c r="C497" i="5"/>
  <c r="B497" i="5"/>
  <c r="C496" i="5"/>
  <c r="B496" i="5"/>
  <c r="C494" i="5"/>
  <c r="B494" i="5"/>
  <c r="C493" i="5"/>
  <c r="B493" i="5"/>
  <c r="C492" i="5"/>
  <c r="B492" i="5"/>
  <c r="C490" i="5"/>
  <c r="B490" i="5"/>
  <c r="C489" i="5"/>
  <c r="B489" i="5"/>
  <c r="C488" i="5"/>
  <c r="B488" i="5"/>
  <c r="C486" i="5"/>
  <c r="B486" i="5"/>
  <c r="C485" i="5"/>
  <c r="B485" i="5"/>
  <c r="C484" i="5"/>
  <c r="B484" i="5"/>
  <c r="C482" i="5"/>
  <c r="B482" i="5"/>
  <c r="C481" i="5"/>
  <c r="B481" i="5"/>
  <c r="C480" i="5"/>
  <c r="B480" i="5"/>
  <c r="C478" i="5"/>
  <c r="B478" i="5"/>
  <c r="C477" i="5"/>
  <c r="B477" i="5"/>
  <c r="C476" i="5"/>
  <c r="B476" i="5"/>
  <c r="C474" i="5"/>
  <c r="B474" i="5"/>
  <c r="C473" i="5"/>
  <c r="B473" i="5"/>
  <c r="C472" i="5"/>
  <c r="B472" i="5"/>
  <c r="C470" i="5"/>
  <c r="B470" i="5"/>
  <c r="C469" i="5"/>
  <c r="B469" i="5"/>
  <c r="C468" i="5"/>
  <c r="B468" i="5"/>
  <c r="C466" i="5"/>
  <c r="B466" i="5"/>
  <c r="C465" i="5"/>
  <c r="B465" i="5"/>
  <c r="C464" i="5"/>
  <c r="B464" i="5"/>
  <c r="C462" i="5"/>
  <c r="B462" i="5"/>
  <c r="C461" i="5"/>
  <c r="B461" i="5"/>
  <c r="C460" i="5"/>
  <c r="B460" i="5"/>
  <c r="C458" i="5"/>
  <c r="B458" i="5"/>
  <c r="C457" i="5"/>
  <c r="B457" i="5"/>
  <c r="C456" i="5"/>
  <c r="B456" i="5"/>
  <c r="C454" i="5"/>
  <c r="B454" i="5"/>
  <c r="C453" i="5"/>
  <c r="B453" i="5"/>
  <c r="C452" i="5"/>
  <c r="B452" i="5"/>
  <c r="C450" i="5"/>
  <c r="B450" i="5"/>
  <c r="C449" i="5"/>
  <c r="B449" i="5"/>
  <c r="C448" i="5"/>
  <c r="B448" i="5"/>
  <c r="C412" i="5"/>
  <c r="B412" i="5"/>
  <c r="C411" i="5"/>
  <c r="B411" i="5"/>
  <c r="C410" i="5"/>
  <c r="B410" i="5"/>
  <c r="C409" i="5"/>
  <c r="B409" i="5"/>
  <c r="C408" i="5"/>
  <c r="B408" i="5"/>
  <c r="C407" i="5"/>
  <c r="B407" i="5"/>
  <c r="C406" i="5"/>
  <c r="B406" i="5"/>
  <c r="C405" i="5"/>
  <c r="B405" i="5"/>
  <c r="C404" i="5"/>
  <c r="B404" i="5"/>
  <c r="C403" i="5"/>
  <c r="B403" i="5"/>
  <c r="C402" i="5"/>
  <c r="B402" i="5"/>
  <c r="C401" i="5"/>
  <c r="B401" i="5"/>
  <c r="C400" i="5"/>
  <c r="B400" i="5"/>
  <c r="C399" i="5"/>
  <c r="B399" i="5"/>
  <c r="C398" i="5"/>
  <c r="B398" i="5"/>
  <c r="C397" i="5"/>
  <c r="B397" i="5"/>
  <c r="C396" i="5"/>
  <c r="B396" i="5"/>
  <c r="C395" i="5"/>
  <c r="B395" i="5"/>
  <c r="C394" i="5"/>
  <c r="B394" i="5"/>
  <c r="C393" i="5"/>
  <c r="B393" i="5"/>
  <c r="C392" i="5"/>
  <c r="B392" i="5"/>
  <c r="C391" i="5"/>
  <c r="B391" i="5"/>
  <c r="C390" i="5"/>
  <c r="B390" i="5"/>
  <c r="C389" i="5"/>
  <c r="B389" i="5"/>
  <c r="C388" i="5"/>
  <c r="B388" i="5"/>
  <c r="C387" i="5"/>
  <c r="B387" i="5"/>
  <c r="C386" i="5"/>
  <c r="B386" i="5"/>
  <c r="C385" i="5"/>
  <c r="B385" i="5"/>
  <c r="C384" i="5"/>
  <c r="B384" i="5"/>
  <c r="C383" i="5"/>
  <c r="B383" i="5"/>
  <c r="C382" i="5"/>
  <c r="B382" i="5"/>
  <c r="C381" i="5"/>
  <c r="B381" i="5"/>
  <c r="C380" i="5"/>
  <c r="B380" i="5"/>
  <c r="C379" i="5"/>
  <c r="B379" i="5"/>
  <c r="C378" i="5"/>
  <c r="B378" i="5"/>
  <c r="C377" i="5"/>
  <c r="B377" i="5"/>
  <c r="C376" i="5"/>
  <c r="B376" i="5"/>
  <c r="C375" i="5"/>
  <c r="B375" i="5"/>
  <c r="C374" i="5"/>
  <c r="B374" i="5"/>
  <c r="C373" i="5"/>
  <c r="B373" i="5"/>
  <c r="C372" i="5"/>
  <c r="B372" i="5"/>
  <c r="C371" i="5"/>
  <c r="B371" i="5"/>
  <c r="C370" i="5"/>
  <c r="B370" i="5"/>
  <c r="C369" i="5"/>
  <c r="B369" i="5"/>
  <c r="C368" i="5"/>
  <c r="B368" i="5"/>
  <c r="C367" i="5"/>
  <c r="B367" i="5"/>
  <c r="C366" i="5"/>
  <c r="B366" i="5"/>
  <c r="C365" i="5"/>
  <c r="B365" i="5"/>
  <c r="C364" i="5"/>
  <c r="B364" i="5"/>
  <c r="C363" i="5"/>
  <c r="B363" i="5"/>
  <c r="C362" i="5"/>
  <c r="B362" i="5"/>
  <c r="C361" i="5"/>
  <c r="B361" i="5"/>
  <c r="C360" i="5"/>
  <c r="B360" i="5"/>
  <c r="C359" i="5"/>
  <c r="B359" i="5"/>
  <c r="C358" i="5"/>
  <c r="B358" i="5"/>
  <c r="C357" i="5"/>
  <c r="B357" i="5"/>
  <c r="C351" i="5"/>
  <c r="B351" i="5"/>
  <c r="C350" i="5"/>
  <c r="B350" i="5"/>
  <c r="C349" i="5"/>
  <c r="B349" i="5"/>
  <c r="C348" i="5"/>
  <c r="B348" i="5"/>
  <c r="C347" i="5"/>
  <c r="B347" i="5"/>
  <c r="C346" i="5"/>
  <c r="B346" i="5"/>
  <c r="C345" i="5"/>
  <c r="B345" i="5"/>
  <c r="C344" i="5"/>
  <c r="B344" i="5"/>
  <c r="C343" i="5"/>
  <c r="B343" i="5"/>
  <c r="C342" i="5"/>
  <c r="B342" i="5"/>
  <c r="C341" i="5"/>
  <c r="B341" i="5"/>
  <c r="C340" i="5"/>
  <c r="B340" i="5"/>
  <c r="C339" i="5"/>
  <c r="B339" i="5"/>
  <c r="C338" i="5"/>
  <c r="B338" i="5"/>
  <c r="C337" i="5"/>
  <c r="B337" i="5"/>
  <c r="C336" i="5"/>
  <c r="B336" i="5"/>
  <c r="C335" i="5"/>
  <c r="B335" i="5"/>
  <c r="C334" i="5"/>
  <c r="B334" i="5"/>
  <c r="C333" i="5"/>
  <c r="B333" i="5"/>
  <c r="C332" i="5"/>
  <c r="B332" i="5"/>
  <c r="C331" i="5"/>
  <c r="B331" i="5"/>
  <c r="C330" i="5"/>
  <c r="B330" i="5"/>
  <c r="C329" i="5"/>
  <c r="B329" i="5"/>
  <c r="C328" i="5"/>
  <c r="B328" i="5"/>
  <c r="C327" i="5"/>
  <c r="B327" i="5"/>
  <c r="C326" i="5"/>
  <c r="B326" i="5"/>
  <c r="C325" i="5"/>
  <c r="B325" i="5"/>
  <c r="C324" i="5"/>
  <c r="B324" i="5"/>
  <c r="C321" i="5"/>
  <c r="B321" i="5"/>
  <c r="C320" i="5"/>
  <c r="B320" i="5"/>
  <c r="C319" i="5"/>
  <c r="B319" i="5"/>
  <c r="C318" i="5"/>
  <c r="B318" i="5"/>
  <c r="C317" i="5"/>
  <c r="B317" i="5"/>
  <c r="C316" i="5"/>
  <c r="B316" i="5"/>
  <c r="C315" i="5"/>
  <c r="B315" i="5"/>
  <c r="C314" i="5"/>
  <c r="B314" i="5"/>
  <c r="C313" i="5"/>
  <c r="B313" i="5"/>
  <c r="C312" i="5"/>
  <c r="B312" i="5"/>
  <c r="C311" i="5"/>
  <c r="B311" i="5"/>
  <c r="C310" i="5"/>
  <c r="B310" i="5"/>
  <c r="C309" i="5"/>
  <c r="B309" i="5"/>
  <c r="C308" i="5"/>
  <c r="B308" i="5"/>
  <c r="C307" i="5"/>
  <c r="B307" i="5"/>
  <c r="C306" i="5"/>
  <c r="B306" i="5"/>
  <c r="C305" i="5"/>
  <c r="B305" i="5"/>
  <c r="C304" i="5"/>
  <c r="B304" i="5"/>
  <c r="C303" i="5"/>
  <c r="B303" i="5"/>
  <c r="C302" i="5"/>
  <c r="B302" i="5"/>
  <c r="C301" i="5"/>
  <c r="B301" i="5"/>
  <c r="C300" i="5"/>
  <c r="B300" i="5"/>
  <c r="C299" i="5"/>
  <c r="B299" i="5"/>
  <c r="C298" i="5"/>
  <c r="B298" i="5"/>
  <c r="C297" i="5"/>
  <c r="B297" i="5"/>
  <c r="C296" i="5"/>
  <c r="B296" i="5"/>
  <c r="C295" i="5"/>
  <c r="B295" i="5"/>
  <c r="C294" i="5"/>
  <c r="B294" i="5"/>
  <c r="C291" i="5"/>
  <c r="B291" i="5"/>
  <c r="C290" i="5"/>
  <c r="B290" i="5"/>
  <c r="C289" i="5"/>
  <c r="B289" i="5"/>
  <c r="C288" i="5"/>
  <c r="B288" i="5"/>
  <c r="C287" i="5"/>
  <c r="B287" i="5"/>
  <c r="C286" i="5"/>
  <c r="B286" i="5"/>
  <c r="C285" i="5"/>
  <c r="B285" i="5"/>
  <c r="C284" i="5"/>
  <c r="B284" i="5"/>
  <c r="C283" i="5"/>
  <c r="B283" i="5"/>
  <c r="C282" i="5"/>
  <c r="B282" i="5"/>
  <c r="C281" i="5"/>
  <c r="B281" i="5"/>
  <c r="C280" i="5"/>
  <c r="B280" i="5"/>
  <c r="C279" i="5"/>
  <c r="B279" i="5"/>
  <c r="C278" i="5"/>
  <c r="B278" i="5"/>
  <c r="C277" i="5"/>
  <c r="B277" i="5"/>
  <c r="C276" i="5"/>
  <c r="B276" i="5"/>
  <c r="C275" i="5"/>
  <c r="B275" i="5"/>
  <c r="C274" i="5"/>
  <c r="B274" i="5"/>
  <c r="C273" i="5"/>
  <c r="B273" i="5"/>
  <c r="C272" i="5"/>
  <c r="B272" i="5"/>
  <c r="C271" i="5"/>
  <c r="B271" i="5"/>
  <c r="C270" i="5"/>
  <c r="B270" i="5"/>
  <c r="C269" i="5"/>
  <c r="B269" i="5"/>
  <c r="C268" i="5"/>
  <c r="B268" i="5"/>
  <c r="C267" i="5"/>
  <c r="B267" i="5"/>
  <c r="C266" i="5"/>
  <c r="B266" i="5"/>
  <c r="C265" i="5"/>
  <c r="B265" i="5"/>
  <c r="C264" i="5"/>
  <c r="B264" i="5"/>
  <c r="C261" i="5"/>
  <c r="B261" i="5"/>
  <c r="C260" i="5"/>
  <c r="B260" i="5"/>
  <c r="C259" i="5"/>
  <c r="B259" i="5"/>
  <c r="C258" i="5"/>
  <c r="B258" i="5"/>
  <c r="C257" i="5"/>
  <c r="B257" i="5"/>
  <c r="C256" i="5"/>
  <c r="B256" i="5"/>
  <c r="C255" i="5"/>
  <c r="B255" i="5"/>
  <c r="C254" i="5"/>
  <c r="B254" i="5"/>
  <c r="C253" i="5"/>
  <c r="B253" i="5"/>
  <c r="C252" i="5"/>
  <c r="B252" i="5"/>
  <c r="C251" i="5"/>
  <c r="B251" i="5"/>
  <c r="C250" i="5"/>
  <c r="B250" i="5"/>
  <c r="C249" i="5"/>
  <c r="B249" i="5"/>
  <c r="C248" i="5"/>
  <c r="B248" i="5"/>
  <c r="C247" i="5"/>
  <c r="B247" i="5"/>
  <c r="C246" i="5"/>
  <c r="B246" i="5"/>
  <c r="C245" i="5"/>
  <c r="B245" i="5"/>
  <c r="C244" i="5"/>
  <c r="B244" i="5"/>
  <c r="C243" i="5"/>
  <c r="B243" i="5"/>
  <c r="C242" i="5"/>
  <c r="B242" i="5"/>
  <c r="C241" i="5"/>
  <c r="B241" i="5"/>
  <c r="C240" i="5"/>
  <c r="B240" i="5"/>
  <c r="C239" i="5"/>
  <c r="B239" i="5"/>
  <c r="C238" i="5"/>
  <c r="B238" i="5"/>
  <c r="C237" i="5"/>
  <c r="B237" i="5"/>
  <c r="C236" i="5"/>
  <c r="B236" i="5"/>
  <c r="C235" i="5"/>
  <c r="B235" i="5"/>
  <c r="C234" i="5"/>
  <c r="B234" i="5"/>
  <c r="C231" i="5"/>
  <c r="B231" i="5"/>
  <c r="C230" i="5"/>
  <c r="B230" i="5"/>
  <c r="C229" i="5"/>
  <c r="B229" i="5"/>
  <c r="C228" i="5"/>
  <c r="B228" i="5"/>
  <c r="C227" i="5"/>
  <c r="B227" i="5"/>
  <c r="C226" i="5"/>
  <c r="B226" i="5"/>
  <c r="C225" i="5"/>
  <c r="B225" i="5"/>
  <c r="C224" i="5"/>
  <c r="B224" i="5"/>
  <c r="C223" i="5"/>
  <c r="B223" i="5"/>
  <c r="C222" i="5"/>
  <c r="B222" i="5"/>
  <c r="C221" i="5"/>
  <c r="B221" i="5"/>
  <c r="C220" i="5"/>
  <c r="B220" i="5"/>
  <c r="C219" i="5"/>
  <c r="B219" i="5"/>
  <c r="C218" i="5"/>
  <c r="B218" i="5"/>
  <c r="C217" i="5"/>
  <c r="B217" i="5"/>
  <c r="C216" i="5"/>
  <c r="B216" i="5"/>
  <c r="C215" i="5"/>
  <c r="B215" i="5"/>
  <c r="C214" i="5"/>
  <c r="B214" i="5"/>
  <c r="C213" i="5"/>
  <c r="B213" i="5"/>
  <c r="C212" i="5"/>
  <c r="B212" i="5"/>
  <c r="C211" i="5"/>
  <c r="B211" i="5"/>
  <c r="C210" i="5"/>
  <c r="B210" i="5"/>
  <c r="C209" i="5"/>
  <c r="B209" i="5"/>
  <c r="C208" i="5"/>
  <c r="B208" i="5"/>
  <c r="C207" i="5"/>
  <c r="B207" i="5"/>
  <c r="C206" i="5"/>
  <c r="B206" i="5"/>
  <c r="C205" i="5"/>
  <c r="B205" i="5"/>
  <c r="C204" i="5"/>
  <c r="B204" i="5"/>
  <c r="C196" i="5"/>
  <c r="B196" i="5"/>
  <c r="C195" i="5"/>
  <c r="B195" i="5"/>
  <c r="C194" i="5"/>
  <c r="B194" i="5"/>
  <c r="C193" i="5"/>
  <c r="B193" i="5"/>
  <c r="C192" i="5"/>
  <c r="B192" i="5"/>
  <c r="C191" i="5"/>
  <c r="B191" i="5"/>
  <c r="C190" i="5"/>
  <c r="B190" i="5"/>
  <c r="C189" i="5"/>
  <c r="B189" i="5"/>
  <c r="C188" i="5"/>
  <c r="B188" i="5"/>
  <c r="C187" i="5"/>
  <c r="B187" i="5"/>
  <c r="C186" i="5"/>
  <c r="B186" i="5"/>
  <c r="C185" i="5"/>
  <c r="B185" i="5"/>
  <c r="C184" i="5"/>
  <c r="B184" i="5"/>
  <c r="C183" i="5"/>
  <c r="B183" i="5"/>
  <c r="C182" i="5"/>
  <c r="B182" i="5"/>
  <c r="C181" i="5"/>
  <c r="B181" i="5"/>
  <c r="C180" i="5"/>
  <c r="B180" i="5"/>
  <c r="C179" i="5"/>
  <c r="B179" i="5"/>
  <c r="C178" i="5"/>
  <c r="B178" i="5"/>
  <c r="C177" i="5"/>
  <c r="B177" i="5"/>
  <c r="C176" i="5"/>
  <c r="B176" i="5"/>
  <c r="C175" i="5"/>
  <c r="B175" i="5"/>
  <c r="C174" i="5"/>
  <c r="B174" i="5"/>
  <c r="C173" i="5"/>
  <c r="B173" i="5"/>
  <c r="C172" i="5"/>
  <c r="B172" i="5"/>
  <c r="C171" i="5"/>
  <c r="B171" i="5"/>
  <c r="C170" i="5"/>
  <c r="B170" i="5"/>
  <c r="C169" i="5"/>
  <c r="B169" i="5"/>
  <c r="C168" i="5"/>
  <c r="B168" i="5"/>
  <c r="C167" i="5"/>
  <c r="B167" i="5"/>
  <c r="C166" i="5"/>
  <c r="B166" i="5"/>
  <c r="C165" i="5"/>
  <c r="B165" i="5"/>
  <c r="C164" i="5"/>
  <c r="B164" i="5"/>
  <c r="C163" i="5"/>
  <c r="B163" i="5"/>
  <c r="C162" i="5"/>
  <c r="B162" i="5"/>
  <c r="C161" i="5"/>
  <c r="B161" i="5"/>
  <c r="C157" i="5"/>
  <c r="B157" i="5"/>
  <c r="C156" i="5"/>
  <c r="B156" i="5"/>
  <c r="C155" i="5"/>
  <c r="B155" i="5"/>
  <c r="C154" i="5"/>
  <c r="B154" i="5"/>
  <c r="C153" i="5"/>
  <c r="B153" i="5"/>
  <c r="C152" i="5"/>
  <c r="B152" i="5"/>
  <c r="C151" i="5"/>
  <c r="B151" i="5"/>
  <c r="C150" i="5"/>
  <c r="B150" i="5"/>
  <c r="C149" i="5"/>
  <c r="B149" i="5"/>
  <c r="C148" i="5"/>
  <c r="B148" i="5"/>
  <c r="C147" i="5"/>
  <c r="B147" i="5"/>
  <c r="C146" i="5"/>
  <c r="B146" i="5"/>
  <c r="C145" i="5"/>
  <c r="B145" i="5"/>
  <c r="C144" i="5"/>
  <c r="B144" i="5"/>
  <c r="C143" i="5"/>
  <c r="B143" i="5"/>
  <c r="C142" i="5"/>
  <c r="B142" i="5"/>
  <c r="C141" i="5"/>
  <c r="B141" i="5"/>
  <c r="C140" i="5"/>
  <c r="B140" i="5"/>
  <c r="C139" i="5"/>
  <c r="B139" i="5"/>
  <c r="C138" i="5"/>
  <c r="B138" i="5"/>
  <c r="C137" i="5"/>
  <c r="B137" i="5"/>
  <c r="C136" i="5"/>
  <c r="B136" i="5"/>
  <c r="C135" i="5"/>
  <c r="B135" i="5"/>
  <c r="C134" i="5"/>
  <c r="B134" i="5"/>
  <c r="C133" i="5"/>
  <c r="B133" i="5"/>
  <c r="C132" i="5"/>
  <c r="B132" i="5"/>
  <c r="C131" i="5"/>
  <c r="B131" i="5"/>
  <c r="C130" i="5"/>
  <c r="B130" i="5"/>
  <c r="C129" i="5"/>
  <c r="B129" i="5"/>
  <c r="C128" i="5"/>
  <c r="B128" i="5"/>
  <c r="C127" i="5"/>
  <c r="B127" i="5"/>
  <c r="C126" i="5"/>
  <c r="B126" i="5"/>
  <c r="C125" i="5"/>
  <c r="B125" i="5"/>
  <c r="C124" i="5"/>
  <c r="B124" i="5"/>
  <c r="C123" i="5"/>
  <c r="B123" i="5"/>
  <c r="C122" i="5"/>
  <c r="B122" i="5"/>
  <c r="C118" i="5"/>
  <c r="B118" i="5"/>
  <c r="C117" i="5"/>
  <c r="B117" i="5"/>
  <c r="C116" i="5"/>
  <c r="B116" i="5"/>
  <c r="C115" i="5"/>
  <c r="B115" i="5"/>
  <c r="C114" i="5"/>
  <c r="B114" i="5"/>
  <c r="C113" i="5"/>
  <c r="B113" i="5"/>
  <c r="C112" i="5"/>
  <c r="B112" i="5"/>
  <c r="C111" i="5"/>
  <c r="B111" i="5"/>
  <c r="C110" i="5"/>
  <c r="B110" i="5"/>
  <c r="C109" i="5"/>
  <c r="B109" i="5"/>
  <c r="C108" i="5"/>
  <c r="B108" i="5"/>
  <c r="C107" i="5"/>
  <c r="B107" i="5"/>
  <c r="C106" i="5"/>
  <c r="B106" i="5"/>
  <c r="C105" i="5"/>
  <c r="B105" i="5"/>
  <c r="C104" i="5"/>
  <c r="B104" i="5"/>
  <c r="C103" i="5"/>
  <c r="B103" i="5"/>
  <c r="C102" i="5"/>
  <c r="B102" i="5"/>
  <c r="C101" i="5"/>
  <c r="B101" i="5"/>
  <c r="C100" i="5"/>
  <c r="B100" i="5"/>
  <c r="C99" i="5"/>
  <c r="B99" i="5"/>
  <c r="C98" i="5"/>
  <c r="B98" i="5"/>
  <c r="C97" i="5"/>
  <c r="B97" i="5"/>
  <c r="C96" i="5"/>
  <c r="B96" i="5"/>
  <c r="C95" i="5"/>
  <c r="B95" i="5"/>
  <c r="C94" i="5"/>
  <c r="B94" i="5"/>
  <c r="C93" i="5"/>
  <c r="B93" i="5"/>
  <c r="C92" i="5"/>
  <c r="B92" i="5"/>
  <c r="C91" i="5"/>
  <c r="B91" i="5"/>
  <c r="C90" i="5"/>
  <c r="B90" i="5"/>
  <c r="C89" i="5"/>
  <c r="B89" i="5"/>
  <c r="C88" i="5"/>
  <c r="B88" i="5"/>
  <c r="C87" i="5"/>
  <c r="B87" i="5"/>
  <c r="C86" i="5"/>
  <c r="B86" i="5"/>
  <c r="C85" i="5"/>
  <c r="B85" i="5"/>
  <c r="C84" i="5"/>
  <c r="B84" i="5"/>
  <c r="C83" i="5"/>
  <c r="B83" i="5"/>
  <c r="C79" i="5"/>
  <c r="B79" i="5"/>
  <c r="C78" i="5"/>
  <c r="B78" i="5"/>
  <c r="C77" i="5"/>
  <c r="B77" i="5"/>
  <c r="C76" i="5"/>
  <c r="B76" i="5"/>
  <c r="C75" i="5"/>
  <c r="B75" i="5"/>
  <c r="C74" i="5"/>
  <c r="B74" i="5"/>
  <c r="C73" i="5"/>
  <c r="B73" i="5"/>
  <c r="C72" i="5"/>
  <c r="B72" i="5"/>
  <c r="C71" i="5"/>
  <c r="B71" i="5"/>
  <c r="C70" i="5"/>
  <c r="B70" i="5"/>
  <c r="C69" i="5"/>
  <c r="B69" i="5"/>
  <c r="C68" i="5"/>
  <c r="B68" i="5"/>
  <c r="C67" i="5"/>
  <c r="B67" i="5"/>
  <c r="C66" i="5"/>
  <c r="B66" i="5"/>
  <c r="C65" i="5"/>
  <c r="B65" i="5"/>
  <c r="C64" i="5"/>
  <c r="B64" i="5"/>
  <c r="C63" i="5"/>
  <c r="B63" i="5"/>
  <c r="C62" i="5"/>
  <c r="B62" i="5"/>
  <c r="C61" i="5"/>
  <c r="B61" i="5"/>
  <c r="C60" i="5"/>
  <c r="B60" i="5"/>
  <c r="C59" i="5"/>
  <c r="B59" i="5"/>
  <c r="C58" i="5"/>
  <c r="B58" i="5"/>
  <c r="C57" i="5"/>
  <c r="B57" i="5"/>
  <c r="C56" i="5"/>
  <c r="B56" i="5"/>
  <c r="C55" i="5"/>
  <c r="B55" i="5"/>
  <c r="C54" i="5"/>
  <c r="B54" i="5"/>
  <c r="C53" i="5"/>
  <c r="B53" i="5"/>
  <c r="C52" i="5"/>
  <c r="B52" i="5"/>
  <c r="C51" i="5"/>
  <c r="B51" i="5"/>
  <c r="C50" i="5"/>
  <c r="B50" i="5"/>
  <c r="C49" i="5"/>
  <c r="B49" i="5"/>
  <c r="C48" i="5"/>
  <c r="B48" i="5"/>
  <c r="C47" i="5"/>
  <c r="B47" i="5"/>
  <c r="C46" i="5"/>
  <c r="B46" i="5"/>
  <c r="C45" i="5"/>
  <c r="B45" i="5"/>
  <c r="C44" i="5"/>
  <c r="B44" i="5"/>
  <c r="C40" i="5"/>
  <c r="B40" i="5"/>
  <c r="C39" i="5"/>
  <c r="B39" i="5"/>
  <c r="C38" i="5"/>
  <c r="B38" i="5"/>
  <c r="C37" i="5"/>
  <c r="B37" i="5"/>
  <c r="C36" i="5"/>
  <c r="B36" i="5"/>
  <c r="C35" i="5"/>
  <c r="B35" i="5"/>
  <c r="C34" i="5"/>
  <c r="B34" i="5"/>
  <c r="C33" i="5"/>
  <c r="B33" i="5"/>
  <c r="C32" i="5"/>
  <c r="B32" i="5"/>
  <c r="C31" i="5"/>
  <c r="B31" i="5"/>
  <c r="C30" i="5"/>
  <c r="B30" i="5"/>
  <c r="C29" i="5"/>
  <c r="B29" i="5"/>
  <c r="C28" i="5"/>
  <c r="B28" i="5"/>
  <c r="C27" i="5"/>
  <c r="B27" i="5"/>
  <c r="C26" i="5"/>
  <c r="B26" i="5"/>
  <c r="C25" i="5"/>
  <c r="B25" i="5"/>
  <c r="C24" i="5"/>
  <c r="B24" i="5"/>
  <c r="C23" i="5"/>
  <c r="B23" i="5"/>
  <c r="C22" i="5"/>
  <c r="B22" i="5"/>
  <c r="C21" i="5"/>
  <c r="B21" i="5"/>
  <c r="C20" i="5"/>
  <c r="B20" i="5"/>
  <c r="C19" i="5"/>
  <c r="B19" i="5"/>
  <c r="C18" i="5"/>
  <c r="B18" i="5"/>
  <c r="C17" i="5"/>
  <c r="B17" i="5"/>
  <c r="C16" i="5"/>
  <c r="B16" i="5"/>
  <c r="C15" i="5"/>
  <c r="B15" i="5"/>
  <c r="C14" i="5"/>
  <c r="B14" i="5"/>
  <c r="C13" i="5"/>
  <c r="B13" i="5"/>
  <c r="C12" i="5"/>
  <c r="B12" i="5"/>
  <c r="C11" i="5"/>
  <c r="B11" i="5"/>
  <c r="C10" i="5"/>
  <c r="B10" i="5"/>
  <c r="C9" i="5"/>
  <c r="B9" i="5"/>
  <c r="C8" i="5"/>
  <c r="B8" i="5"/>
  <c r="C7" i="5"/>
  <c r="B7" i="5"/>
  <c r="C6" i="5"/>
  <c r="B6" i="5"/>
  <c r="C5" i="5"/>
  <c r="B5" i="5"/>
  <c r="B287" i="3" l="1"/>
  <c r="B286" i="3"/>
  <c r="B285" i="3"/>
  <c r="B284" i="3"/>
  <c r="B283" i="3"/>
  <c r="B282" i="3"/>
  <c r="B280" i="3"/>
  <c r="B279" i="3"/>
  <c r="B278" i="3"/>
  <c r="B277" i="3"/>
  <c r="B276" i="3"/>
  <c r="B275" i="3"/>
  <c r="B273" i="3"/>
  <c r="B272" i="3"/>
  <c r="B271" i="3"/>
  <c r="B270" i="3"/>
  <c r="B269" i="3"/>
  <c r="B268" i="3"/>
  <c r="B266" i="3"/>
  <c r="B265" i="3"/>
  <c r="B264" i="3"/>
  <c r="B263" i="3"/>
  <c r="B262" i="3"/>
  <c r="B261" i="3"/>
  <c r="B259" i="3"/>
  <c r="B258" i="3"/>
  <c r="B257" i="3"/>
  <c r="B256" i="3"/>
  <c r="B255" i="3"/>
  <c r="B254" i="3"/>
  <c r="B251" i="3"/>
  <c r="B250" i="3"/>
  <c r="B249" i="3"/>
  <c r="B248" i="3"/>
  <c r="B247" i="3"/>
  <c r="B246" i="3"/>
  <c r="B244" i="3"/>
  <c r="B243" i="3"/>
  <c r="B242" i="3"/>
  <c r="B241" i="3"/>
  <c r="B240" i="3"/>
  <c r="B239" i="3"/>
  <c r="B237" i="3"/>
  <c r="B236" i="3"/>
  <c r="B235" i="3"/>
  <c r="B234" i="3"/>
  <c r="B233" i="3"/>
  <c r="B232" i="3"/>
  <c r="B230" i="3"/>
  <c r="B229" i="3"/>
  <c r="B228" i="3"/>
  <c r="B227" i="3"/>
  <c r="B226" i="3"/>
  <c r="B225" i="3"/>
  <c r="B223" i="3"/>
  <c r="B222" i="3"/>
  <c r="B221" i="3"/>
  <c r="B220" i="3"/>
  <c r="B219" i="3"/>
  <c r="B218" i="3"/>
  <c r="B215" i="3"/>
  <c r="B214" i="3"/>
  <c r="B213" i="3"/>
  <c r="B212" i="3"/>
  <c r="B211" i="3"/>
  <c r="B210" i="3"/>
  <c r="B208" i="3"/>
  <c r="B207" i="3"/>
  <c r="B206" i="3"/>
  <c r="B205" i="3"/>
  <c r="B204" i="3"/>
  <c r="B203" i="3"/>
  <c r="B201" i="3"/>
  <c r="B200" i="3"/>
  <c r="B199" i="3"/>
  <c r="B198" i="3"/>
  <c r="B197" i="3"/>
  <c r="B196" i="3"/>
  <c r="B194" i="3"/>
  <c r="B193" i="3"/>
  <c r="B192" i="3"/>
  <c r="B191" i="3"/>
  <c r="B190" i="3"/>
  <c r="B189" i="3"/>
  <c r="B187" i="3"/>
  <c r="B186" i="3"/>
  <c r="B185" i="3"/>
  <c r="B184" i="3"/>
  <c r="B183" i="3"/>
  <c r="B182" i="3"/>
  <c r="C32" i="12" l="1"/>
  <c r="B1041" i="17" s="1"/>
  <c r="B1064" i="5" l="1"/>
  <c r="P107" i="11"/>
  <c r="B1021" i="5" l="1"/>
  <c r="B999" i="17"/>
  <c r="A3" i="3"/>
  <c r="C11" i="6"/>
  <c r="C1" i="5"/>
  <c r="A434" i="5" l="1"/>
  <c r="A435" i="5"/>
  <c r="A433" i="5"/>
  <c r="R14" i="12"/>
  <c r="C1008" i="17" s="1"/>
  <c r="P14" i="12"/>
  <c r="B1008" i="17" s="1"/>
  <c r="C1031" i="5" l="1"/>
  <c r="B157" i="3" s="1"/>
  <c r="B1031" i="5"/>
  <c r="B156" i="3" s="1"/>
  <c r="I13" i="14"/>
  <c r="B1230" i="17" s="1"/>
  <c r="B1253" i="5" l="1"/>
  <c r="B292" i="3" s="1"/>
  <c r="C35" i="10"/>
  <c r="M109" i="11"/>
  <c r="K109" i="11"/>
  <c r="I109" i="11"/>
  <c r="G109" i="11"/>
  <c r="E109" i="11"/>
  <c r="C109" i="11"/>
  <c r="M91" i="11"/>
  <c r="K91" i="11"/>
  <c r="I91" i="11"/>
  <c r="G91" i="11"/>
  <c r="E91" i="11"/>
  <c r="C91" i="11"/>
  <c r="M72" i="11"/>
  <c r="K72" i="11"/>
  <c r="I72" i="11"/>
  <c r="G72" i="11"/>
  <c r="E72" i="11"/>
  <c r="C72" i="11"/>
  <c r="M53" i="11"/>
  <c r="K53" i="11"/>
  <c r="I53" i="11"/>
  <c r="G53" i="11"/>
  <c r="E53" i="11"/>
  <c r="C53" i="11"/>
  <c r="M34" i="11"/>
  <c r="K34" i="11"/>
  <c r="I34" i="11"/>
  <c r="G34" i="11"/>
  <c r="E34" i="11"/>
  <c r="C34" i="11"/>
  <c r="M110" i="10"/>
  <c r="K110" i="10"/>
  <c r="I110" i="10"/>
  <c r="G110" i="10"/>
  <c r="E110" i="10"/>
  <c r="C110" i="10"/>
  <c r="M92" i="10"/>
  <c r="K92" i="10"/>
  <c r="I92" i="10"/>
  <c r="G92" i="10"/>
  <c r="E92" i="10"/>
  <c r="C92" i="10"/>
  <c r="M73" i="10"/>
  <c r="K73" i="10"/>
  <c r="I73" i="10"/>
  <c r="G73" i="10"/>
  <c r="E73" i="10"/>
  <c r="C73" i="10"/>
  <c r="M54" i="10"/>
  <c r="K54" i="10"/>
  <c r="I54" i="10"/>
  <c r="G54" i="10"/>
  <c r="E54" i="10"/>
  <c r="C54" i="10"/>
  <c r="K35" i="10"/>
  <c r="M35" i="10"/>
  <c r="I35" i="10"/>
  <c r="G35" i="10"/>
  <c r="E35" i="10"/>
  <c r="C36" i="8"/>
  <c r="K112" i="10" l="1"/>
  <c r="E111" i="11"/>
  <c r="M111" i="11"/>
  <c r="M112" i="10"/>
  <c r="K111" i="11"/>
  <c r="I111" i="11"/>
  <c r="C111" i="11"/>
  <c r="G111" i="11"/>
  <c r="G112" i="10"/>
  <c r="I112" i="10"/>
  <c r="E112" i="10"/>
  <c r="C112" i="10"/>
  <c r="C55" i="8"/>
  <c r="C58" i="8" s="1"/>
  <c r="G39" i="9"/>
  <c r="B433" i="5" s="1"/>
  <c r="B102" i="3" s="1"/>
  <c r="E39" i="9"/>
  <c r="C39" i="9"/>
  <c r="N91" i="7"/>
  <c r="L91" i="7"/>
  <c r="I91" i="7"/>
  <c r="G91" i="7"/>
  <c r="E91" i="7"/>
  <c r="C91" i="7"/>
  <c r="N74" i="7"/>
  <c r="L74" i="7"/>
  <c r="I74" i="7"/>
  <c r="G74" i="7"/>
  <c r="E74" i="7"/>
  <c r="C74" i="7"/>
  <c r="N56" i="7"/>
  <c r="L56" i="7"/>
  <c r="I56" i="7"/>
  <c r="G56" i="7"/>
  <c r="E56" i="7"/>
  <c r="C56" i="7"/>
  <c r="N38" i="7"/>
  <c r="L38" i="7"/>
  <c r="I38" i="7"/>
  <c r="G38" i="7"/>
  <c r="E38" i="7"/>
  <c r="C38" i="7"/>
  <c r="E20" i="7"/>
  <c r="G20" i="7"/>
  <c r="I20" i="7"/>
  <c r="L20" i="7"/>
  <c r="N20" i="7"/>
  <c r="C20" i="7"/>
  <c r="C70" i="6"/>
  <c r="B1023" i="5" l="1"/>
  <c r="B1000" i="17"/>
  <c r="C1024" i="5"/>
  <c r="C1001" i="17"/>
  <c r="B1025" i="5"/>
  <c r="B1002" i="17"/>
  <c r="C735" i="5"/>
  <c r="C717" i="17"/>
  <c r="C733" i="5"/>
  <c r="C715" i="17"/>
  <c r="C1025" i="5"/>
  <c r="C1002" i="17"/>
  <c r="B1024" i="5"/>
  <c r="B1001" i="17"/>
  <c r="C734" i="5"/>
  <c r="C716" i="17"/>
  <c r="C1023" i="5"/>
  <c r="C1000" i="17"/>
  <c r="B734" i="5"/>
  <c r="B716" i="17"/>
  <c r="B735" i="5"/>
  <c r="B717" i="17"/>
  <c r="B733" i="5"/>
  <c r="B715" i="17"/>
  <c r="B352" i="5"/>
  <c r="B71" i="3" s="1"/>
  <c r="C352" i="5"/>
  <c r="B72" i="3" s="1"/>
  <c r="C353" i="5"/>
  <c r="B74" i="3" s="1"/>
  <c r="B353" i="5"/>
  <c r="B73" i="3" s="1"/>
  <c r="B323" i="5"/>
  <c r="B68" i="3" s="1"/>
  <c r="B322" i="5"/>
  <c r="B66" i="3" s="1"/>
  <c r="C323" i="5"/>
  <c r="B69" i="3" s="1"/>
  <c r="C322" i="5"/>
  <c r="B67" i="3" s="1"/>
  <c r="B292" i="5"/>
  <c r="B61" i="3" s="1"/>
  <c r="C293" i="5"/>
  <c r="B64" i="3" s="1"/>
  <c r="B293" i="5"/>
  <c r="B63" i="3" s="1"/>
  <c r="C292" i="5"/>
  <c r="B62" i="3" s="1"/>
  <c r="C262" i="5"/>
  <c r="B57" i="3" s="1"/>
  <c r="B262" i="5"/>
  <c r="B56" i="3" s="1"/>
  <c r="C263" i="5"/>
  <c r="B59" i="3" s="1"/>
  <c r="B263" i="5"/>
  <c r="B58" i="3" s="1"/>
  <c r="C232" i="5"/>
  <c r="B52" i="3" s="1"/>
  <c r="C233" i="5"/>
  <c r="B54" i="3" s="1"/>
  <c r="B233" i="5"/>
  <c r="B53" i="3" s="1"/>
  <c r="B232" i="5"/>
  <c r="B51" i="3" s="1"/>
  <c r="C107" i="7"/>
  <c r="E107" i="7"/>
  <c r="I107" i="7"/>
  <c r="L107" i="7"/>
  <c r="N107" i="7"/>
  <c r="G107" i="7"/>
  <c r="B355" i="5" l="1"/>
  <c r="B78" i="3" s="1"/>
  <c r="B345" i="17"/>
  <c r="B354" i="5"/>
  <c r="B76" i="3" s="1"/>
  <c r="B344" i="17"/>
  <c r="C355" i="5"/>
  <c r="B79" i="3" s="1"/>
  <c r="C345" i="17"/>
  <c r="C354" i="5"/>
  <c r="B77" i="3" s="1"/>
  <c r="C344" i="17"/>
  <c r="R95" i="11"/>
  <c r="C951" i="17" s="1"/>
  <c r="R96" i="11"/>
  <c r="C955" i="17" s="1"/>
  <c r="R97" i="11"/>
  <c r="C959" i="17" s="1"/>
  <c r="R98" i="11"/>
  <c r="C963" i="17" s="1"/>
  <c r="R99" i="11"/>
  <c r="C967" i="17" s="1"/>
  <c r="R100" i="11"/>
  <c r="R101" i="11"/>
  <c r="C975" i="17" s="1"/>
  <c r="R102" i="11"/>
  <c r="R103" i="11"/>
  <c r="R104" i="11"/>
  <c r="R105" i="11"/>
  <c r="R106" i="11"/>
  <c r="R107" i="11"/>
  <c r="P95" i="11"/>
  <c r="B951" i="17" s="1"/>
  <c r="P96" i="11"/>
  <c r="B955" i="17" s="1"/>
  <c r="P97" i="11"/>
  <c r="B959" i="17" s="1"/>
  <c r="P98" i="11"/>
  <c r="B963" i="17" s="1"/>
  <c r="P99" i="11"/>
  <c r="B967" i="17" s="1"/>
  <c r="P100" i="11"/>
  <c r="P101" i="11"/>
  <c r="B975" i="17" s="1"/>
  <c r="P102" i="11"/>
  <c r="P103" i="11"/>
  <c r="P104" i="11"/>
  <c r="P105" i="11"/>
  <c r="P106" i="11"/>
  <c r="R94" i="11"/>
  <c r="C947" i="17" s="1"/>
  <c r="P94" i="11"/>
  <c r="B947" i="17" s="1"/>
  <c r="R77" i="11"/>
  <c r="C895" i="17" s="1"/>
  <c r="R78" i="11"/>
  <c r="C899" i="17" s="1"/>
  <c r="R79" i="11"/>
  <c r="C903" i="17" s="1"/>
  <c r="R80" i="11"/>
  <c r="C907" i="17" s="1"/>
  <c r="R81" i="11"/>
  <c r="C911" i="17" s="1"/>
  <c r="R82" i="11"/>
  <c r="C915" i="17" s="1"/>
  <c r="R83" i="11"/>
  <c r="C919" i="17" s="1"/>
  <c r="R84" i="11"/>
  <c r="R85" i="11"/>
  <c r="R86" i="11"/>
  <c r="C931" i="17" s="1"/>
  <c r="R87" i="11"/>
  <c r="C935" i="17" s="1"/>
  <c r="R88" i="11"/>
  <c r="C939" i="17" s="1"/>
  <c r="R89" i="11"/>
  <c r="C943" i="17" s="1"/>
  <c r="P77" i="11"/>
  <c r="B895" i="17" s="1"/>
  <c r="P78" i="11"/>
  <c r="B899" i="17" s="1"/>
  <c r="P79" i="11"/>
  <c r="B903" i="17" s="1"/>
  <c r="P80" i="11"/>
  <c r="B907" i="17" s="1"/>
  <c r="P81" i="11"/>
  <c r="B911" i="17" s="1"/>
  <c r="P82" i="11"/>
  <c r="B915" i="17" s="1"/>
  <c r="P83" i="11"/>
  <c r="B919" i="17" s="1"/>
  <c r="P84" i="11"/>
  <c r="P85" i="11"/>
  <c r="P86" i="11"/>
  <c r="B931" i="17" s="1"/>
  <c r="P87" i="11"/>
  <c r="B935" i="17" s="1"/>
  <c r="P88" i="11"/>
  <c r="B939" i="17" s="1"/>
  <c r="P89" i="11"/>
  <c r="B943" i="17" s="1"/>
  <c r="R76" i="11"/>
  <c r="C891" i="17" s="1"/>
  <c r="P76" i="11"/>
  <c r="B891" i="17" s="1"/>
  <c r="R58" i="11"/>
  <c r="C839" i="17" s="1"/>
  <c r="R59" i="11"/>
  <c r="C843" i="17" s="1"/>
  <c r="R60" i="11"/>
  <c r="C847" i="17" s="1"/>
  <c r="R61" i="11"/>
  <c r="C851" i="17" s="1"/>
  <c r="R62" i="11"/>
  <c r="C855" i="17" s="1"/>
  <c r="R63" i="11"/>
  <c r="C859" i="17" s="1"/>
  <c r="R64" i="11"/>
  <c r="C863" i="17" s="1"/>
  <c r="R65" i="11"/>
  <c r="C867" i="17" s="1"/>
  <c r="R66" i="11"/>
  <c r="C871" i="17" s="1"/>
  <c r="R67" i="11"/>
  <c r="R68" i="11"/>
  <c r="R69" i="11"/>
  <c r="R70" i="11"/>
  <c r="C887" i="17" s="1"/>
  <c r="P58" i="11"/>
  <c r="B839" i="17" s="1"/>
  <c r="P59" i="11"/>
  <c r="B843" i="17" s="1"/>
  <c r="P60" i="11"/>
  <c r="B847" i="17" s="1"/>
  <c r="P61" i="11"/>
  <c r="B851" i="17" s="1"/>
  <c r="P62" i="11"/>
  <c r="B855" i="17" s="1"/>
  <c r="P63" i="11"/>
  <c r="B859" i="17" s="1"/>
  <c r="P64" i="11"/>
  <c r="B863" i="17" s="1"/>
  <c r="P65" i="11"/>
  <c r="B867" i="17" s="1"/>
  <c r="P66" i="11"/>
  <c r="B871" i="17" s="1"/>
  <c r="P67" i="11"/>
  <c r="P68" i="11"/>
  <c r="P69" i="11"/>
  <c r="P70" i="11"/>
  <c r="B887" i="17" s="1"/>
  <c r="R57" i="11"/>
  <c r="C835" i="17" s="1"/>
  <c r="P57" i="11"/>
  <c r="B835" i="17" s="1"/>
  <c r="R39" i="11"/>
  <c r="C783" i="17" s="1"/>
  <c r="R40" i="11"/>
  <c r="C787" i="17" s="1"/>
  <c r="R41" i="11"/>
  <c r="C791" i="17" s="1"/>
  <c r="R42" i="11"/>
  <c r="C795" i="17" s="1"/>
  <c r="R43" i="11"/>
  <c r="C799" i="17" s="1"/>
  <c r="R44" i="11"/>
  <c r="C803" i="17" s="1"/>
  <c r="R45" i="11"/>
  <c r="C807" i="17" s="1"/>
  <c r="R46" i="11"/>
  <c r="C811" i="17" s="1"/>
  <c r="R47" i="11"/>
  <c r="C815" i="17" s="1"/>
  <c r="R48" i="11"/>
  <c r="C819" i="17" s="1"/>
  <c r="R49" i="11"/>
  <c r="C823" i="17" s="1"/>
  <c r="R50" i="11"/>
  <c r="R51" i="11"/>
  <c r="P39" i="11"/>
  <c r="B783" i="17" s="1"/>
  <c r="P40" i="11"/>
  <c r="B787" i="17" s="1"/>
  <c r="P41" i="11"/>
  <c r="B791" i="17" s="1"/>
  <c r="P42" i="11"/>
  <c r="B795" i="17" s="1"/>
  <c r="P43" i="11"/>
  <c r="B799" i="17" s="1"/>
  <c r="P44" i="11"/>
  <c r="B803" i="17" s="1"/>
  <c r="P45" i="11"/>
  <c r="B807" i="17" s="1"/>
  <c r="P46" i="11"/>
  <c r="B811" i="17" s="1"/>
  <c r="P47" i="11"/>
  <c r="B815" i="17" s="1"/>
  <c r="P48" i="11"/>
  <c r="B819" i="17" s="1"/>
  <c r="P49" i="11"/>
  <c r="B823" i="17" s="1"/>
  <c r="P50" i="11"/>
  <c r="P51" i="11"/>
  <c r="R38" i="11"/>
  <c r="C779" i="17" s="1"/>
  <c r="P38" i="11"/>
  <c r="B779" i="17" s="1"/>
  <c r="R20" i="11"/>
  <c r="C727" i="17" s="1"/>
  <c r="R21" i="11"/>
  <c r="C731" i="17" s="1"/>
  <c r="R22" i="11"/>
  <c r="C735" i="17" s="1"/>
  <c r="R23" i="11"/>
  <c r="C739" i="17" s="1"/>
  <c r="R24" i="11"/>
  <c r="C743" i="17" s="1"/>
  <c r="R25" i="11"/>
  <c r="C747" i="17" s="1"/>
  <c r="R26" i="11"/>
  <c r="C751" i="17" s="1"/>
  <c r="R27" i="11"/>
  <c r="C755" i="17" s="1"/>
  <c r="R28" i="11"/>
  <c r="C759" i="17" s="1"/>
  <c r="R29" i="11"/>
  <c r="C763" i="17" s="1"/>
  <c r="R30" i="11"/>
  <c r="C767" i="17" s="1"/>
  <c r="R31" i="11"/>
  <c r="C771" i="17" s="1"/>
  <c r="R32" i="11"/>
  <c r="C775" i="17" s="1"/>
  <c r="P20" i="11"/>
  <c r="B727" i="17" s="1"/>
  <c r="P21" i="11"/>
  <c r="B731" i="17" s="1"/>
  <c r="P22" i="11"/>
  <c r="B735" i="17" s="1"/>
  <c r="P23" i="11"/>
  <c r="B739" i="17" s="1"/>
  <c r="P24" i="11"/>
  <c r="B743" i="17" s="1"/>
  <c r="P25" i="11"/>
  <c r="B747" i="17" s="1"/>
  <c r="P26" i="11"/>
  <c r="B751" i="17" s="1"/>
  <c r="P27" i="11"/>
  <c r="B755" i="17" s="1"/>
  <c r="P28" i="11"/>
  <c r="B759" i="17" s="1"/>
  <c r="P29" i="11"/>
  <c r="B763" i="17" s="1"/>
  <c r="P30" i="11"/>
  <c r="B767" i="17" s="1"/>
  <c r="P31" i="11"/>
  <c r="B771" i="17" s="1"/>
  <c r="P32" i="11"/>
  <c r="B775" i="17" s="1"/>
  <c r="R19" i="11"/>
  <c r="C723" i="17" s="1"/>
  <c r="P19" i="11"/>
  <c r="B723" i="17" s="1"/>
  <c r="C993" i="5" l="1"/>
  <c r="C971" i="17"/>
  <c r="B850" i="5"/>
  <c r="B831" i="17"/>
  <c r="C1021" i="5"/>
  <c r="C999" i="17"/>
  <c r="C1017" i="5"/>
  <c r="C995" i="17"/>
  <c r="C903" i="5"/>
  <c r="C883" i="17"/>
  <c r="C1009" i="5"/>
  <c r="C987" i="17"/>
  <c r="C846" i="5"/>
  <c r="C827" i="17"/>
  <c r="B899" i="5"/>
  <c r="B879" i="17"/>
  <c r="B1009" i="5"/>
  <c r="B987" i="17"/>
  <c r="B895" i="5"/>
  <c r="B875" i="17"/>
  <c r="B846" i="5"/>
  <c r="B827" i="17"/>
  <c r="C948" i="5"/>
  <c r="C927" i="17"/>
  <c r="C944" i="5"/>
  <c r="C923" i="17"/>
  <c r="B993" i="5"/>
  <c r="B971" i="17"/>
  <c r="C899" i="5"/>
  <c r="C879" i="17"/>
  <c r="C895" i="5"/>
  <c r="C875" i="17"/>
  <c r="B948" i="5"/>
  <c r="B927" i="17"/>
  <c r="B1017" i="5"/>
  <c r="B995" i="17"/>
  <c r="C1005" i="5"/>
  <c r="C983" i="17"/>
  <c r="B1005" i="5"/>
  <c r="B983" i="17"/>
  <c r="B1001" i="5"/>
  <c r="B979" i="17"/>
  <c r="C1013" i="5"/>
  <c r="C991" i="17"/>
  <c r="C850" i="5"/>
  <c r="C831" i="17"/>
  <c r="B903" i="5"/>
  <c r="B883" i="17"/>
  <c r="B944" i="5"/>
  <c r="B923" i="17"/>
  <c r="B1013" i="5"/>
  <c r="B991" i="17"/>
  <c r="C1001" i="5"/>
  <c r="C979" i="17"/>
  <c r="C997" i="5"/>
  <c r="C989" i="5"/>
  <c r="C985" i="5"/>
  <c r="C981" i="5"/>
  <c r="B973" i="5"/>
  <c r="B969" i="5"/>
  <c r="C969" i="5"/>
  <c r="B989" i="5"/>
  <c r="C977" i="5"/>
  <c r="B977" i="5"/>
  <c r="B997" i="5"/>
  <c r="B985" i="5"/>
  <c r="C973" i="5"/>
  <c r="B981" i="5"/>
  <c r="B940" i="5"/>
  <c r="C912" i="5"/>
  <c r="B936" i="5"/>
  <c r="C956" i="5"/>
  <c r="C924" i="5"/>
  <c r="B964" i="5"/>
  <c r="B932" i="5"/>
  <c r="C952" i="5"/>
  <c r="C920" i="5"/>
  <c r="B960" i="5"/>
  <c r="B928" i="5"/>
  <c r="C916" i="5"/>
  <c r="B912" i="5"/>
  <c r="C928" i="5"/>
  <c r="B956" i="5"/>
  <c r="B924" i="5"/>
  <c r="B952" i="5"/>
  <c r="C940" i="5"/>
  <c r="B916" i="5"/>
  <c r="C936" i="5"/>
  <c r="C960" i="5"/>
  <c r="B920" i="5"/>
  <c r="C964" i="5"/>
  <c r="C932" i="5"/>
  <c r="B887" i="5"/>
  <c r="C887" i="5"/>
  <c r="C879" i="5"/>
  <c r="B867" i="5"/>
  <c r="B863" i="5"/>
  <c r="C883" i="5"/>
  <c r="B891" i="5"/>
  <c r="B855" i="5"/>
  <c r="C871" i="5"/>
  <c r="B859" i="5"/>
  <c r="C907" i="5"/>
  <c r="C855" i="5"/>
  <c r="B879" i="5"/>
  <c r="C867" i="5"/>
  <c r="B907" i="5"/>
  <c r="B875" i="5"/>
  <c r="C863" i="5"/>
  <c r="C875" i="5"/>
  <c r="B883" i="5"/>
  <c r="B871" i="5"/>
  <c r="C891" i="5"/>
  <c r="C859" i="5"/>
  <c r="B826" i="5"/>
  <c r="C814" i="5"/>
  <c r="C798" i="5"/>
  <c r="B822" i="5"/>
  <c r="C842" i="5"/>
  <c r="C810" i="5"/>
  <c r="B818" i="5"/>
  <c r="C806" i="5"/>
  <c r="B814" i="5"/>
  <c r="C802" i="5"/>
  <c r="B842" i="5"/>
  <c r="B810" i="5"/>
  <c r="C830" i="5"/>
  <c r="C834" i="5"/>
  <c r="B838" i="5"/>
  <c r="B806" i="5"/>
  <c r="C826" i="5"/>
  <c r="B798" i="5"/>
  <c r="C838" i="5"/>
  <c r="B834" i="5"/>
  <c r="B802" i="5"/>
  <c r="C822" i="5"/>
  <c r="B830" i="5"/>
  <c r="C818" i="5"/>
  <c r="B785" i="5"/>
  <c r="C765" i="5"/>
  <c r="C761" i="5"/>
  <c r="C773" i="5"/>
  <c r="B749" i="5"/>
  <c r="B745" i="5"/>
  <c r="C757" i="5"/>
  <c r="C769" i="5"/>
  <c r="B777" i="5"/>
  <c r="C753" i="5"/>
  <c r="B781" i="5"/>
  <c r="C793" i="5"/>
  <c r="B769" i="5"/>
  <c r="C789" i="5"/>
  <c r="C785" i="5"/>
  <c r="B793" i="5"/>
  <c r="B761" i="5"/>
  <c r="C781" i="5"/>
  <c r="C749" i="5"/>
  <c r="B753" i="5"/>
  <c r="B773" i="5"/>
  <c r="B741" i="5"/>
  <c r="C741" i="5"/>
  <c r="B765" i="5"/>
  <c r="B789" i="5"/>
  <c r="B757" i="5"/>
  <c r="C777" i="5"/>
  <c r="C745" i="5"/>
  <c r="P109" i="11"/>
  <c r="B1022" i="5" s="1"/>
  <c r="R109" i="11"/>
  <c r="C1022" i="5" s="1"/>
  <c r="B148" i="3" s="1"/>
  <c r="P91" i="11"/>
  <c r="R91" i="11"/>
  <c r="P72" i="11"/>
  <c r="R72" i="11"/>
  <c r="R53" i="11"/>
  <c r="P53" i="11"/>
  <c r="P34" i="11"/>
  <c r="B794" i="5" s="1"/>
  <c r="R34" i="11"/>
  <c r="C794" i="5" s="1"/>
  <c r="A794" i="5"/>
  <c r="A1022" i="5"/>
  <c r="A965" i="5"/>
  <c r="A851" i="5"/>
  <c r="A908" i="5"/>
  <c r="A732" i="5"/>
  <c r="A675" i="5"/>
  <c r="A618" i="5"/>
  <c r="A504" i="5"/>
  <c r="A561" i="5"/>
  <c r="A323" i="5"/>
  <c r="A322" i="5"/>
  <c r="A293" i="5"/>
  <c r="A292" i="5"/>
  <c r="A263" i="5"/>
  <c r="A385" i="5"/>
  <c r="A262" i="5"/>
  <c r="A353" i="5"/>
  <c r="A233" i="5"/>
  <c r="A386" i="5"/>
  <c r="A352" i="5"/>
  <c r="A232" i="5"/>
  <c r="B147" i="3" l="1"/>
  <c r="C965" i="5"/>
  <c r="B145" i="3" s="1"/>
  <c r="B965" i="5"/>
  <c r="B144" i="3" s="1"/>
  <c r="C908" i="5"/>
  <c r="B142" i="3" s="1"/>
  <c r="B908" i="5"/>
  <c r="B141" i="3" s="1"/>
  <c r="B851" i="5"/>
  <c r="B138" i="3" s="1"/>
  <c r="C851" i="5"/>
  <c r="B139" i="3" s="1"/>
  <c r="B136" i="3"/>
  <c r="B135" i="3"/>
  <c r="P111" i="11"/>
  <c r="R111" i="11"/>
  <c r="C1026" i="5" l="1"/>
  <c r="B151" i="3" s="1"/>
  <c r="C1003" i="17"/>
  <c r="B1026" i="5"/>
  <c r="B150" i="3" s="1"/>
  <c r="B1003" i="17"/>
  <c r="Q39" i="9"/>
  <c r="C435" i="5" s="1"/>
  <c r="B109" i="3" s="1"/>
  <c r="C55" i="6"/>
  <c r="Q84" i="6" l="1"/>
  <c r="O84" i="6"/>
  <c r="M84" i="6"/>
  <c r="K84" i="6"/>
  <c r="I84" i="6"/>
  <c r="G84" i="6"/>
  <c r="E84" i="6"/>
  <c r="C84" i="6"/>
  <c r="Q70" i="6"/>
  <c r="O70" i="6"/>
  <c r="M70" i="6"/>
  <c r="K70" i="6"/>
  <c r="I70" i="6"/>
  <c r="G70" i="6"/>
  <c r="E70" i="6"/>
  <c r="B158" i="5" l="1"/>
  <c r="B28" i="3" s="1"/>
  <c r="B158" i="17"/>
  <c r="B197" i="5"/>
  <c r="B35" i="3" s="1"/>
  <c r="B197" i="17"/>
  <c r="C158" i="5"/>
  <c r="B29" i="3" s="1"/>
  <c r="C158" i="17"/>
  <c r="C197" i="5"/>
  <c r="B36" i="3" s="1"/>
  <c r="C197" i="17"/>
  <c r="B159" i="5"/>
  <c r="B30" i="3" s="1"/>
  <c r="B159" i="17"/>
  <c r="B198" i="5"/>
  <c r="B37" i="3" s="1"/>
  <c r="B198" i="17"/>
  <c r="C159" i="5"/>
  <c r="B31" i="3" s="1"/>
  <c r="C159" i="17"/>
  <c r="C198" i="5"/>
  <c r="B38" i="3" s="1"/>
  <c r="C198" i="17"/>
  <c r="B160" i="5"/>
  <c r="B32" i="3" s="1"/>
  <c r="B160" i="17"/>
  <c r="B199" i="5"/>
  <c r="B39" i="3" s="1"/>
  <c r="B199" i="17"/>
  <c r="C160" i="5"/>
  <c r="B33" i="3" s="1"/>
  <c r="C160" i="17"/>
  <c r="C199" i="5"/>
  <c r="B40" i="3" s="1"/>
  <c r="C199" i="17"/>
  <c r="Q55" i="6"/>
  <c r="O55" i="6"/>
  <c r="M55" i="6"/>
  <c r="K55" i="6"/>
  <c r="I55" i="6"/>
  <c r="G55" i="6"/>
  <c r="E55" i="6"/>
  <c r="Q40" i="6"/>
  <c r="O40" i="6"/>
  <c r="M40" i="6"/>
  <c r="K40" i="6"/>
  <c r="I40" i="6"/>
  <c r="G40" i="6"/>
  <c r="E40" i="6"/>
  <c r="C40" i="6"/>
  <c r="C82" i="5" l="1"/>
  <c r="B19" i="3" s="1"/>
  <c r="C82" i="17"/>
  <c r="B119" i="5"/>
  <c r="B21" i="3" s="1"/>
  <c r="B119" i="17"/>
  <c r="B80" i="5"/>
  <c r="B14" i="3" s="1"/>
  <c r="B80" i="17"/>
  <c r="C119" i="5"/>
  <c r="B22" i="3" s="1"/>
  <c r="C119" i="17"/>
  <c r="C80" i="5"/>
  <c r="B15" i="3" s="1"/>
  <c r="C80" i="17"/>
  <c r="B120" i="5"/>
  <c r="B23" i="3" s="1"/>
  <c r="B120" i="17"/>
  <c r="B81" i="5"/>
  <c r="B16" i="3" s="1"/>
  <c r="B81" i="17"/>
  <c r="C120" i="5"/>
  <c r="B24" i="3" s="1"/>
  <c r="C120" i="17"/>
  <c r="C81" i="5"/>
  <c r="B17" i="3" s="1"/>
  <c r="C81" i="17"/>
  <c r="B121" i="5"/>
  <c r="B25" i="3" s="1"/>
  <c r="B121" i="17"/>
  <c r="B82" i="5"/>
  <c r="B18" i="3" s="1"/>
  <c r="B82" i="17"/>
  <c r="C121" i="5"/>
  <c r="B26" i="3" s="1"/>
  <c r="C121" i="17"/>
  <c r="A3" i="5"/>
  <c r="E25" i="6"/>
  <c r="E98" i="6" s="1"/>
  <c r="C25" i="6"/>
  <c r="C98" i="6" s="1"/>
  <c r="M32" i="12"/>
  <c r="C1043" i="17" s="1"/>
  <c r="K32" i="12"/>
  <c r="B1043" i="17" s="1"/>
  <c r="I32" i="12"/>
  <c r="C1042" i="17" s="1"/>
  <c r="G32" i="12"/>
  <c r="B1042" i="17" s="1"/>
  <c r="E32" i="12"/>
  <c r="C1041" i="17" s="1"/>
  <c r="Q25" i="6"/>
  <c r="O25" i="6"/>
  <c r="M25" i="6"/>
  <c r="C42" i="17" s="1"/>
  <c r="K25" i="6"/>
  <c r="B42" i="17" s="1"/>
  <c r="I25" i="6"/>
  <c r="G25" i="6"/>
  <c r="B41" i="17" s="1"/>
  <c r="R108" i="10"/>
  <c r="R107" i="10"/>
  <c r="R106" i="10"/>
  <c r="R105" i="10"/>
  <c r="R104" i="10"/>
  <c r="R103" i="10"/>
  <c r="R102" i="10"/>
  <c r="C690" i="17" s="1"/>
  <c r="R101" i="10"/>
  <c r="R100" i="10"/>
  <c r="C682" i="17" s="1"/>
  <c r="R99" i="10"/>
  <c r="C678" i="17" s="1"/>
  <c r="R98" i="10"/>
  <c r="C674" i="17" s="1"/>
  <c r="R97" i="10"/>
  <c r="C670" i="17" s="1"/>
  <c r="R96" i="10"/>
  <c r="C666" i="17" s="1"/>
  <c r="R95" i="10"/>
  <c r="C662" i="17" s="1"/>
  <c r="R90" i="10"/>
  <c r="C658" i="17" s="1"/>
  <c r="R89" i="10"/>
  <c r="C654" i="17" s="1"/>
  <c r="R88" i="10"/>
  <c r="C650" i="17" s="1"/>
  <c r="R87" i="10"/>
  <c r="C646" i="17" s="1"/>
  <c r="R86" i="10"/>
  <c r="R85" i="10"/>
  <c r="R84" i="10"/>
  <c r="C634" i="17" s="1"/>
  <c r="R83" i="10"/>
  <c r="C630" i="17" s="1"/>
  <c r="R82" i="10"/>
  <c r="C626" i="17" s="1"/>
  <c r="R81" i="10"/>
  <c r="C622" i="17" s="1"/>
  <c r="R80" i="10"/>
  <c r="C618" i="17" s="1"/>
  <c r="R79" i="10"/>
  <c r="C614" i="17" s="1"/>
  <c r="R78" i="10"/>
  <c r="C610" i="17" s="1"/>
  <c r="R77" i="10"/>
  <c r="C606" i="17" s="1"/>
  <c r="R71" i="10"/>
  <c r="C602" i="17" s="1"/>
  <c r="R70" i="10"/>
  <c r="R69" i="10"/>
  <c r="R68" i="10"/>
  <c r="R67" i="10"/>
  <c r="C586" i="17" s="1"/>
  <c r="R66" i="10"/>
  <c r="C582" i="17" s="1"/>
  <c r="R65" i="10"/>
  <c r="C578" i="17" s="1"/>
  <c r="R64" i="10"/>
  <c r="C574" i="17" s="1"/>
  <c r="R63" i="10"/>
  <c r="C570" i="17" s="1"/>
  <c r="R62" i="10"/>
  <c r="C566" i="17" s="1"/>
  <c r="R61" i="10"/>
  <c r="C562" i="17" s="1"/>
  <c r="R60" i="10"/>
  <c r="C558" i="17" s="1"/>
  <c r="R59" i="10"/>
  <c r="C554" i="17" s="1"/>
  <c r="R58" i="10"/>
  <c r="C550" i="17" s="1"/>
  <c r="R52" i="10"/>
  <c r="R51" i="10"/>
  <c r="R50" i="10"/>
  <c r="C538" i="17" s="1"/>
  <c r="R49" i="10"/>
  <c r="C534" i="17" s="1"/>
  <c r="R48" i="10"/>
  <c r="C530" i="17" s="1"/>
  <c r="R47" i="10"/>
  <c r="C526" i="17" s="1"/>
  <c r="R46" i="10"/>
  <c r="C522" i="17" s="1"/>
  <c r="R45" i="10"/>
  <c r="C518" i="17" s="1"/>
  <c r="R44" i="10"/>
  <c r="C514" i="17" s="1"/>
  <c r="R43" i="10"/>
  <c r="C510" i="17" s="1"/>
  <c r="R42" i="10"/>
  <c r="C506" i="17" s="1"/>
  <c r="R41" i="10"/>
  <c r="C502" i="17" s="1"/>
  <c r="R40" i="10"/>
  <c r="C498" i="17" s="1"/>
  <c r="R39" i="10"/>
  <c r="C494" i="17" s="1"/>
  <c r="R33" i="10"/>
  <c r="C490" i="17" s="1"/>
  <c r="R32" i="10"/>
  <c r="C486" i="17" s="1"/>
  <c r="R31" i="10"/>
  <c r="C482" i="17" s="1"/>
  <c r="R30" i="10"/>
  <c r="C478" i="17" s="1"/>
  <c r="R29" i="10"/>
  <c r="C474" i="17" s="1"/>
  <c r="R28" i="10"/>
  <c r="C470" i="17" s="1"/>
  <c r="R27" i="10"/>
  <c r="C466" i="17" s="1"/>
  <c r="R26" i="10"/>
  <c r="C462" i="17" s="1"/>
  <c r="R25" i="10"/>
  <c r="C458" i="17" s="1"/>
  <c r="R24" i="10"/>
  <c r="C454" i="17" s="1"/>
  <c r="R23" i="10"/>
  <c r="C450" i="17" s="1"/>
  <c r="R22" i="10"/>
  <c r="C446" i="17" s="1"/>
  <c r="R21" i="10"/>
  <c r="C442" i="17" s="1"/>
  <c r="R20" i="10"/>
  <c r="C438" i="17" s="1"/>
  <c r="P108" i="10"/>
  <c r="P107" i="10"/>
  <c r="P106" i="10"/>
  <c r="P105" i="10"/>
  <c r="P104" i="10"/>
  <c r="P103" i="10"/>
  <c r="P102" i="10"/>
  <c r="B690" i="17" s="1"/>
  <c r="P101" i="10"/>
  <c r="P100" i="10"/>
  <c r="B682" i="17" s="1"/>
  <c r="P99" i="10"/>
  <c r="B678" i="17" s="1"/>
  <c r="P98" i="10"/>
  <c r="B674" i="17" s="1"/>
  <c r="P97" i="10"/>
  <c r="B670" i="17" s="1"/>
  <c r="P96" i="10"/>
  <c r="B666" i="17" s="1"/>
  <c r="P95" i="10"/>
  <c r="B662" i="17" s="1"/>
  <c r="P90" i="10"/>
  <c r="B658" i="17" s="1"/>
  <c r="P89" i="10"/>
  <c r="B654" i="17" s="1"/>
  <c r="P88" i="10"/>
  <c r="B650" i="17" s="1"/>
  <c r="P87" i="10"/>
  <c r="B646" i="17" s="1"/>
  <c r="P86" i="10"/>
  <c r="P85" i="10"/>
  <c r="P84" i="10"/>
  <c r="B634" i="17" s="1"/>
  <c r="P83" i="10"/>
  <c r="B630" i="17" s="1"/>
  <c r="P82" i="10"/>
  <c r="B626" i="17" s="1"/>
  <c r="P81" i="10"/>
  <c r="B622" i="17" s="1"/>
  <c r="P80" i="10"/>
  <c r="B618" i="17" s="1"/>
  <c r="P79" i="10"/>
  <c r="B614" i="17" s="1"/>
  <c r="P78" i="10"/>
  <c r="B610" i="17" s="1"/>
  <c r="P77" i="10"/>
  <c r="B606" i="17" s="1"/>
  <c r="P71" i="10"/>
  <c r="B602" i="17" s="1"/>
  <c r="P70" i="10"/>
  <c r="P69" i="10"/>
  <c r="P68" i="10"/>
  <c r="P67" i="10"/>
  <c r="B586" i="17" s="1"/>
  <c r="P66" i="10"/>
  <c r="B582" i="17" s="1"/>
  <c r="P65" i="10"/>
  <c r="B578" i="17" s="1"/>
  <c r="P64" i="10"/>
  <c r="B574" i="17" s="1"/>
  <c r="P63" i="10"/>
  <c r="B570" i="17" s="1"/>
  <c r="P62" i="10"/>
  <c r="B566" i="17" s="1"/>
  <c r="P61" i="10"/>
  <c r="B562" i="17" s="1"/>
  <c r="P60" i="10"/>
  <c r="B558" i="17" s="1"/>
  <c r="P59" i="10"/>
  <c r="B554" i="17" s="1"/>
  <c r="P58" i="10"/>
  <c r="B550" i="17" s="1"/>
  <c r="P52" i="10"/>
  <c r="P51" i="10"/>
  <c r="P50" i="10"/>
  <c r="B538" i="17" s="1"/>
  <c r="P49" i="10"/>
  <c r="B534" i="17" s="1"/>
  <c r="P48" i="10"/>
  <c r="B530" i="17" s="1"/>
  <c r="P47" i="10"/>
  <c r="B526" i="17" s="1"/>
  <c r="P46" i="10"/>
  <c r="B522" i="17" s="1"/>
  <c r="P45" i="10"/>
  <c r="B518" i="17" s="1"/>
  <c r="P44" i="10"/>
  <c r="B514" i="17" s="1"/>
  <c r="P43" i="10"/>
  <c r="B510" i="17" s="1"/>
  <c r="P42" i="10"/>
  <c r="B506" i="17" s="1"/>
  <c r="P41" i="10"/>
  <c r="B502" i="17" s="1"/>
  <c r="P40" i="10"/>
  <c r="B498" i="17" s="1"/>
  <c r="P39" i="10"/>
  <c r="B494" i="17" s="1"/>
  <c r="P33" i="10"/>
  <c r="B490" i="17" s="1"/>
  <c r="P32" i="10"/>
  <c r="B486" i="17" s="1"/>
  <c r="P31" i="10"/>
  <c r="B482" i="17" s="1"/>
  <c r="P30" i="10"/>
  <c r="B478" i="17" s="1"/>
  <c r="P29" i="10"/>
  <c r="B474" i="17" s="1"/>
  <c r="P28" i="10"/>
  <c r="B470" i="17" s="1"/>
  <c r="P27" i="10"/>
  <c r="B466" i="17" s="1"/>
  <c r="P26" i="10"/>
  <c r="B462" i="17" s="1"/>
  <c r="P25" i="10"/>
  <c r="B458" i="17" s="1"/>
  <c r="P24" i="10"/>
  <c r="B454" i="17" s="1"/>
  <c r="P23" i="10"/>
  <c r="B450" i="17" s="1"/>
  <c r="P22" i="10"/>
  <c r="B446" i="17" s="1"/>
  <c r="P21" i="10"/>
  <c r="B442" i="17" s="1"/>
  <c r="P20" i="10"/>
  <c r="B438" i="17" s="1"/>
  <c r="R30" i="12"/>
  <c r="C1040" i="17" s="1"/>
  <c r="R28" i="12"/>
  <c r="C1036" i="17" s="1"/>
  <c r="R26" i="12"/>
  <c r="C1032" i="17" s="1"/>
  <c r="R24" i="12"/>
  <c r="C1028" i="17" s="1"/>
  <c r="R22" i="12"/>
  <c r="C1024" i="17" s="1"/>
  <c r="R20" i="12"/>
  <c r="C1020" i="17" s="1"/>
  <c r="R18" i="12"/>
  <c r="C1016" i="17" s="1"/>
  <c r="R16" i="12"/>
  <c r="C1012" i="17" s="1"/>
  <c r="P30" i="12"/>
  <c r="B1040" i="17" s="1"/>
  <c r="P28" i="12"/>
  <c r="B1036" i="17" s="1"/>
  <c r="P26" i="12"/>
  <c r="B1032" i="17" s="1"/>
  <c r="P24" i="12"/>
  <c r="B1028" i="17" s="1"/>
  <c r="P22" i="12"/>
  <c r="B1024" i="17" s="1"/>
  <c r="P20" i="12"/>
  <c r="B1020" i="17" s="1"/>
  <c r="P18" i="12"/>
  <c r="B1016" i="17" s="1"/>
  <c r="P16" i="12"/>
  <c r="B1012" i="17" s="1"/>
  <c r="O39" i="9"/>
  <c r="B435" i="5" s="1"/>
  <c r="B108" i="3" s="1"/>
  <c r="M39" i="9"/>
  <c r="C434" i="5" s="1"/>
  <c r="B106" i="3" s="1"/>
  <c r="K39" i="9"/>
  <c r="B434" i="5" s="1"/>
  <c r="B105" i="3" s="1"/>
  <c r="I39" i="9"/>
  <c r="C433" i="5" s="1"/>
  <c r="B103" i="3" s="1"/>
  <c r="N55" i="8"/>
  <c r="L55" i="8"/>
  <c r="I55" i="8"/>
  <c r="G55" i="8"/>
  <c r="E55" i="8"/>
  <c r="N36" i="8"/>
  <c r="L36" i="8"/>
  <c r="I36" i="8"/>
  <c r="G36" i="8"/>
  <c r="E36" i="8"/>
  <c r="A1081" i="5"/>
  <c r="A581" i="5"/>
  <c r="A388" i="5"/>
  <c r="A315" i="5"/>
  <c r="A361" i="5"/>
  <c r="A449" i="5"/>
  <c r="A470" i="5"/>
  <c r="A87" i="5"/>
  <c r="A968" i="5"/>
  <c r="A1167" i="5"/>
  <c r="A390" i="5"/>
  <c r="A539" i="5"/>
  <c r="A684" i="5"/>
  <c r="A362" i="5"/>
  <c r="A440" i="5"/>
  <c r="A344" i="5"/>
  <c r="A1168" i="5"/>
  <c r="A585" i="5"/>
  <c r="A976" i="5"/>
  <c r="A777" i="5"/>
  <c r="A1136" i="5"/>
  <c r="A1094" i="5"/>
  <c r="A201" i="5"/>
  <c r="A687" i="5"/>
  <c r="A1030" i="5"/>
  <c r="A560" i="5"/>
  <c r="A883" i="5"/>
  <c r="A459" i="5"/>
  <c r="A75" i="5"/>
  <c r="A266" i="5"/>
  <c r="A285" i="5"/>
  <c r="A122" i="5"/>
  <c r="A1099" i="5"/>
  <c r="A1173" i="5"/>
  <c r="A944" i="5"/>
  <c r="A977" i="5"/>
  <c r="A1228" i="5"/>
  <c r="A907" i="5"/>
  <c r="A309" i="5"/>
  <c r="A1105" i="5"/>
  <c r="A1176" i="5"/>
  <c r="A1021" i="5"/>
  <c r="A573" i="5"/>
  <c r="A666" i="5"/>
  <c r="A663" i="5"/>
  <c r="A144" i="5"/>
  <c r="A17" i="5"/>
  <c r="A460" i="5"/>
  <c r="A1112" i="5"/>
  <c r="A948" i="5"/>
  <c r="A922" i="5"/>
  <c r="A831" i="5"/>
  <c r="A512" i="5"/>
  <c r="A753" i="5"/>
  <c r="A487" i="5"/>
  <c r="A773" i="5"/>
  <c r="A654" i="5"/>
  <c r="A1057" i="5"/>
  <c r="A721" i="5"/>
  <c r="A590" i="5"/>
  <c r="A746" i="5"/>
  <c r="A63" i="5"/>
  <c r="A672" i="5"/>
  <c r="A1058" i="5"/>
  <c r="A51" i="5"/>
  <c r="A120" i="5"/>
  <c r="A1201" i="5"/>
  <c r="A660" i="5"/>
  <c r="A125" i="5"/>
  <c r="A231" i="5"/>
  <c r="A173" i="5"/>
  <c r="A943" i="5"/>
  <c r="A495" i="5"/>
  <c r="A1220" i="5"/>
  <c r="A1115" i="5"/>
  <c r="A1157" i="5"/>
  <c r="A188" i="5"/>
  <c r="A1179" i="5"/>
  <c r="A1098" i="5"/>
  <c r="A1224" i="5"/>
  <c r="A251" i="5"/>
  <c r="A509" i="5"/>
  <c r="A679" i="5"/>
  <c r="A815" i="5"/>
  <c r="A271" i="5"/>
  <c r="A846" i="5"/>
  <c r="A820" i="5"/>
  <c r="A829" i="5"/>
  <c r="A193" i="5"/>
  <c r="A220" i="5"/>
  <c r="A1186" i="5"/>
  <c r="A235" i="5"/>
  <c r="A817" i="5"/>
  <c r="A72" i="5"/>
  <c r="A12" i="5"/>
  <c r="A1095" i="5"/>
  <c r="A928" i="5"/>
  <c r="A317" i="5"/>
  <c r="A1202" i="5"/>
  <c r="A664" i="5"/>
  <c r="A340" i="5"/>
  <c r="A1221" i="5"/>
  <c r="A337" i="5"/>
  <c r="A1113" i="5"/>
  <c r="A1184" i="5"/>
  <c r="A696" i="5"/>
  <c r="A494" i="5"/>
  <c r="A18" i="5"/>
  <c r="A443" i="5"/>
  <c r="A760" i="5"/>
  <c r="A31" i="5"/>
  <c r="A100" i="5"/>
  <c r="A617" i="5"/>
  <c r="A915" i="5"/>
  <c r="A1209" i="5"/>
  <c r="A779" i="5"/>
  <c r="A783" i="5"/>
  <c r="A1139" i="5"/>
  <c r="A651" i="5"/>
  <c r="A1011" i="5"/>
  <c r="A450" i="5"/>
  <c r="A1052" i="5"/>
  <c r="A1103" i="5"/>
  <c r="A130" i="5"/>
  <c r="A1046" i="5"/>
  <c r="A404" i="5"/>
  <c r="A6" i="5"/>
  <c r="A768" i="5"/>
  <c r="A59" i="5"/>
  <c r="A698" i="5"/>
  <c r="A688" i="5"/>
  <c r="A36" i="5"/>
  <c r="A742" i="5"/>
  <c r="A929" i="5"/>
  <c r="A1007" i="5"/>
  <c r="A683" i="5"/>
  <c r="A1211" i="5"/>
  <c r="A962" i="5"/>
  <c r="A556" i="5"/>
  <c r="A139" i="5"/>
  <c r="A1087" i="5"/>
  <c r="A1213" i="5"/>
  <c r="A396" i="5"/>
  <c r="A670" i="5"/>
  <c r="A751" i="5"/>
  <c r="A564" i="5"/>
  <c r="A1072" i="5"/>
  <c r="A572" i="5"/>
  <c r="A42" i="5"/>
  <c r="A200" i="5"/>
  <c r="A448" i="5"/>
  <c r="A64" i="5"/>
  <c r="A557" i="5"/>
  <c r="A712" i="5"/>
  <c r="A901" i="5"/>
  <c r="A128" i="5"/>
  <c r="A877" i="5"/>
  <c r="A1075" i="5"/>
  <c r="A890" i="5"/>
  <c r="A194" i="5"/>
  <c r="A502" i="5"/>
  <c r="A458" i="5"/>
  <c r="A521" i="5"/>
  <c r="A733" i="5"/>
  <c r="A161" i="5"/>
  <c r="A115" i="5"/>
  <c r="A221" i="5"/>
  <c r="A1101" i="5"/>
  <c r="A565" i="5"/>
  <c r="A56" i="5"/>
  <c r="A1248" i="5"/>
  <c r="A366" i="5"/>
  <c r="A847" i="5"/>
  <c r="A1023" i="5"/>
  <c r="A28" i="5"/>
  <c r="A884" i="5"/>
  <c r="A342" i="5"/>
  <c r="A441" i="5"/>
  <c r="A682" i="5"/>
  <c r="A752" i="5"/>
  <c r="A76" i="5"/>
  <c r="A214" i="5"/>
  <c r="A758" i="5"/>
  <c r="A294" i="5"/>
  <c r="A649" i="5"/>
  <c r="A473" i="5"/>
  <c r="A535" i="5"/>
  <c r="A32" i="5"/>
  <c r="A418" i="5"/>
  <c r="A589" i="5"/>
  <c r="A516" i="5"/>
  <c r="A571" i="5"/>
  <c r="A540" i="5"/>
  <c r="A834" i="5"/>
  <c r="A240" i="5"/>
  <c r="A843" i="5"/>
  <c r="A1226" i="5"/>
  <c r="A392" i="5"/>
  <c r="A1153" i="5"/>
  <c r="A597" i="5"/>
  <c r="A1133" i="5"/>
  <c r="A946" i="5"/>
  <c r="A527" i="5"/>
  <c r="A956" i="5"/>
  <c r="A998" i="5"/>
  <c r="A1154" i="5"/>
  <c r="A839" i="5"/>
  <c r="A812" i="5"/>
  <c r="A1247" i="5"/>
  <c r="A131" i="5"/>
  <c r="A1150" i="5"/>
  <c r="A176" i="5"/>
  <c r="A1056" i="5"/>
  <c r="A234" i="5"/>
  <c r="A1100" i="5"/>
  <c r="A365" i="5"/>
  <c r="A497" i="5"/>
  <c r="A241" i="5"/>
  <c r="A862" i="5"/>
  <c r="A894" i="5"/>
  <c r="A286" i="5"/>
  <c r="A714" i="5"/>
  <c r="A229" i="5"/>
  <c r="A1055" i="5"/>
  <c r="A1182" i="5"/>
  <c r="A522" i="5"/>
  <c r="A703" i="5"/>
  <c r="A369" i="5"/>
  <c r="A930" i="5"/>
  <c r="A377" i="5"/>
  <c r="A24" i="5"/>
  <c r="A290" i="5"/>
  <c r="A699" i="5"/>
  <c r="A790" i="5"/>
  <c r="A667" i="5"/>
  <c r="A10" i="5"/>
  <c r="A141" i="5"/>
  <c r="A533" i="5"/>
  <c r="A700" i="5"/>
  <c r="A582" i="5"/>
  <c r="A403" i="5"/>
  <c r="A1111" i="5"/>
  <c r="A780" i="5"/>
  <c r="A291" i="5"/>
  <c r="A869" i="5"/>
  <c r="A856" i="5"/>
  <c r="A713" i="5"/>
  <c r="A898" i="5"/>
  <c r="A969" i="5"/>
  <c r="A532" i="5"/>
  <c r="A875" i="5"/>
  <c r="A1097" i="5"/>
  <c r="A637" i="5"/>
  <c r="A730" i="5"/>
  <c r="A980" i="5"/>
  <c r="A850" i="5"/>
  <c r="A508" i="5"/>
  <c r="A953" i="5"/>
  <c r="A1149" i="5"/>
  <c r="A963" i="5"/>
  <c r="A456" i="5"/>
  <c r="A787" i="5"/>
  <c r="A936" i="5"/>
  <c r="A204" i="5"/>
  <c r="A9" i="5"/>
  <c r="A1212" i="5"/>
  <c r="A1214" i="5"/>
  <c r="A62" i="5"/>
  <c r="A1122" i="5"/>
  <c r="A830" i="5"/>
  <c r="A1013" i="5"/>
  <c r="A1014" i="5"/>
  <c r="A1002" i="5"/>
  <c r="A1177" i="5"/>
  <c r="A1001" i="5"/>
  <c r="A238" i="5"/>
  <c r="A134" i="5"/>
  <c r="A71" i="5"/>
  <c r="A537" i="5"/>
  <c r="A600" i="5"/>
  <c r="A596" i="5"/>
  <c r="A117" i="5"/>
  <c r="A1207" i="5"/>
  <c r="A258" i="5"/>
  <c r="A277" i="5"/>
  <c r="A671" i="5"/>
  <c r="A187" i="5"/>
  <c r="A154" i="5"/>
  <c r="A423" i="5"/>
  <c r="A265" i="5"/>
  <c r="A109" i="5"/>
  <c r="A393" i="5"/>
  <c r="A724" i="5"/>
  <c r="A165" i="5"/>
  <c r="A310" i="5"/>
  <c r="A106" i="5"/>
  <c r="A529" i="5"/>
  <c r="A808" i="5"/>
  <c r="A400" i="5"/>
  <c r="A171" i="5"/>
  <c r="A382" i="5"/>
  <c r="A19" i="5"/>
  <c r="A34" i="5"/>
  <c r="A14" i="5"/>
  <c r="A729" i="5"/>
  <c r="A185" i="5"/>
  <c r="A722" i="5"/>
  <c r="A759" i="5"/>
  <c r="A563" i="5"/>
  <c r="A169" i="5"/>
  <c r="A1225" i="5"/>
  <c r="A975" i="5"/>
  <c r="A1080" i="5"/>
  <c r="A287" i="5"/>
  <c r="A924" i="5"/>
  <c r="A412" i="5"/>
  <c r="A402" i="5"/>
  <c r="A1145" i="5"/>
  <c r="A1047" i="5"/>
  <c r="A796" i="5"/>
  <c r="A912" i="5"/>
  <c r="A832" i="5"/>
  <c r="A575" i="5"/>
  <c r="A1229" i="5"/>
  <c r="A1114" i="5"/>
  <c r="A463" i="5"/>
  <c r="A622" i="5"/>
  <c r="A1120" i="5"/>
  <c r="A295" i="5"/>
  <c r="A630" i="5"/>
  <c r="A89" i="5"/>
  <c r="A425" i="5"/>
  <c r="A534" i="5"/>
  <c r="A1096" i="5"/>
  <c r="A896" i="5"/>
  <c r="A885" i="5"/>
  <c r="A1230" i="5"/>
  <c r="A1135" i="5"/>
  <c r="A892" i="5"/>
  <c r="A550" i="5"/>
  <c r="A58" i="5"/>
  <c r="A1231" i="5"/>
  <c r="A211" i="5"/>
  <c r="A246" i="5"/>
  <c r="A1088" i="5"/>
  <c r="A558" i="5"/>
  <c r="A545" i="5"/>
  <c r="A256" i="5"/>
  <c r="A239" i="5"/>
  <c r="A680" i="5"/>
  <c r="A631" i="5"/>
  <c r="A237" i="5"/>
  <c r="A717" i="5"/>
  <c r="A625" i="5"/>
  <c r="A807" i="5"/>
  <c r="A92" i="5"/>
  <c r="A634" i="5"/>
  <c r="A1131" i="5"/>
  <c r="A1065" i="5"/>
  <c r="A709" i="5"/>
  <c r="A665" i="5"/>
  <c r="A189" i="5"/>
  <c r="A302" i="5"/>
  <c r="A227" i="5"/>
  <c r="A198" i="5"/>
  <c r="A116" i="5"/>
  <c r="A111" i="5"/>
  <c r="A580" i="5"/>
  <c r="A995" i="5"/>
  <c r="A270" i="5"/>
  <c r="A984" i="5"/>
  <c r="A551" i="5"/>
  <c r="A410" i="5"/>
  <c r="A136" i="5"/>
  <c r="A138" i="5"/>
  <c r="A319" i="5"/>
  <c r="A183" i="5"/>
  <c r="A602" i="5"/>
  <c r="A854" i="5"/>
  <c r="A210" i="5"/>
  <c r="A661" i="5"/>
  <c r="A647" i="5"/>
  <c r="A833" i="5"/>
  <c r="A202" i="5"/>
  <c r="A46" i="5"/>
  <c r="A140" i="5"/>
  <c r="A27" i="5"/>
  <c r="A288" i="5"/>
  <c r="A923" i="5"/>
  <c r="A49" i="5"/>
  <c r="A316" i="5"/>
  <c r="A1074" i="5"/>
  <c r="A1066" i="5"/>
  <c r="A358" i="5"/>
  <c r="A16" i="5"/>
  <c r="A334" i="5"/>
  <c r="A213" i="5"/>
  <c r="A127" i="5"/>
  <c r="A474" i="5"/>
  <c r="A686" i="5"/>
  <c r="A149" i="5"/>
  <c r="A519" i="5"/>
  <c r="A405" i="5"/>
  <c r="A1192" i="5"/>
  <c r="A1189" i="5"/>
  <c r="A964" i="5"/>
  <c r="A955" i="5"/>
  <c r="A810" i="5"/>
  <c r="A1041" i="5"/>
  <c r="A552" i="5"/>
  <c r="A481" i="5"/>
  <c r="A1227" i="5"/>
  <c r="A789" i="5"/>
  <c r="A1200" i="5"/>
  <c r="A446" i="5"/>
  <c r="A1039" i="5"/>
  <c r="A349" i="5"/>
  <c r="A1244" i="5"/>
  <c r="A895" i="5"/>
  <c r="A994" i="5"/>
  <c r="A608" i="5"/>
  <c r="A1015" i="5"/>
  <c r="A411" i="5"/>
  <c r="A1126" i="5"/>
  <c r="A801" i="5"/>
  <c r="A628" i="5"/>
  <c r="A65" i="5"/>
  <c r="A476" i="5"/>
  <c r="A496" i="5"/>
  <c r="A942" i="5"/>
  <c r="A756" i="5"/>
  <c r="A336" i="5"/>
  <c r="A718" i="5"/>
  <c r="A438" i="5"/>
  <c r="A1016" i="5"/>
  <c r="A428" i="5"/>
  <c r="A160" i="5"/>
  <c r="A640" i="5"/>
  <c r="A255" i="5"/>
  <c r="A570" i="5"/>
  <c r="A158" i="5"/>
  <c r="A536" i="5"/>
  <c r="A992" i="5"/>
  <c r="A978" i="5"/>
  <c r="A611" i="5"/>
  <c r="A604" i="5"/>
  <c r="A61" i="5"/>
  <c r="A103" i="5"/>
  <c r="A104" i="5"/>
  <c r="A22" i="5"/>
  <c r="A180" i="5"/>
  <c r="A208" i="5"/>
  <c r="A754" i="5"/>
  <c r="A37" i="5"/>
  <c r="A348" i="5"/>
  <c r="A330" i="5"/>
  <c r="A748" i="5"/>
  <c r="A489" i="5"/>
  <c r="A409" i="5"/>
  <c r="A68" i="5"/>
  <c r="A541" i="5"/>
  <c r="A250" i="5"/>
  <c r="A776" i="5"/>
  <c r="A13" i="5"/>
  <c r="A278" i="5"/>
  <c r="A845" i="5"/>
  <c r="A841" i="5"/>
  <c r="A1159" i="5"/>
  <c r="A219" i="5"/>
  <c r="A178" i="5"/>
  <c r="A426" i="5"/>
  <c r="A91" i="5"/>
  <c r="A395" i="5"/>
  <c r="A588" i="5"/>
  <c r="A113" i="5"/>
  <c r="A445" i="5"/>
  <c r="A273" i="5"/>
  <c r="A641" i="5"/>
  <c r="A431" i="5"/>
  <c r="A152" i="5"/>
  <c r="A170" i="5"/>
  <c r="A338" i="5"/>
  <c r="A191" i="5"/>
  <c r="A623" i="5"/>
  <c r="A1216" i="5"/>
  <c r="A451" i="5"/>
  <c r="A528" i="5"/>
  <c r="A632" i="5"/>
  <c r="A711" i="5"/>
  <c r="A1003" i="5"/>
  <c r="A455" i="5"/>
  <c r="A657" i="5"/>
  <c r="A1108" i="5"/>
  <c r="A723" i="5"/>
  <c r="A1051" i="5"/>
  <c r="A1243" i="5"/>
  <c r="A1234" i="5"/>
  <c r="A1147" i="5"/>
  <c r="A1180" i="5"/>
  <c r="A646" i="5"/>
  <c r="A844" i="5"/>
  <c r="A825" i="5"/>
  <c r="A961" i="5"/>
  <c r="A147" i="5"/>
  <c r="A910" i="5"/>
  <c r="A217" i="5"/>
  <c r="A587" i="5"/>
  <c r="A974" i="5"/>
  <c r="A1143" i="5"/>
  <c r="A488" i="5"/>
  <c r="A857" i="5"/>
  <c r="A559" i="5"/>
  <c r="A179" i="5"/>
  <c r="A720" i="5"/>
  <c r="A94" i="5"/>
  <c r="A694" i="5"/>
  <c r="A195" i="5"/>
  <c r="A350" i="5"/>
  <c r="A603" i="5"/>
  <c r="A629" i="5"/>
  <c r="A379" i="5"/>
  <c r="A513" i="5"/>
  <c r="A471" i="5"/>
  <c r="A949" i="5"/>
  <c r="A938" i="5"/>
  <c r="A546" i="5"/>
  <c r="A303" i="5"/>
  <c r="A1199" i="5"/>
  <c r="A484" i="5"/>
  <c r="A305" i="5"/>
  <c r="A86" i="5"/>
  <c r="A307" i="5"/>
  <c r="A242" i="5"/>
  <c r="A858" i="5"/>
  <c r="A69" i="5"/>
  <c r="A486" i="5"/>
  <c r="A492" i="5"/>
  <c r="A813" i="5"/>
  <c r="A354" i="5"/>
  <c r="A38" i="5"/>
  <c r="A132" i="5"/>
  <c r="A23" i="5"/>
  <c r="A284" i="5"/>
  <c r="A902" i="5"/>
  <c r="A45" i="5"/>
  <c r="A312" i="5"/>
  <c r="A1045" i="5"/>
  <c r="A1040" i="5"/>
  <c r="A351" i="5"/>
  <c r="A8" i="5"/>
  <c r="A313" i="5"/>
  <c r="A205" i="5"/>
  <c r="A123" i="5"/>
  <c r="A466" i="5"/>
  <c r="A676" i="5"/>
  <c r="A145" i="5"/>
  <c r="A511" i="5"/>
  <c r="A381" i="5"/>
  <c r="A706" i="5"/>
  <c r="A469" i="5"/>
  <c r="A267" i="5"/>
  <c r="A1210" i="5"/>
  <c r="A1141" i="5"/>
  <c r="A1198" i="5"/>
  <c r="A329" i="5"/>
  <c r="A1146" i="5"/>
  <c r="A613" i="5"/>
  <c r="A864" i="5"/>
  <c r="A966" i="5"/>
  <c r="A67" i="5"/>
  <c r="A735" i="5"/>
  <c r="A605" i="5"/>
  <c r="A981" i="5"/>
  <c r="A987" i="5"/>
  <c r="A1018" i="5"/>
  <c r="A1010" i="5"/>
  <c r="A1116" i="5"/>
  <c r="A609" i="5"/>
  <c r="A685" i="5"/>
  <c r="A137" i="5"/>
  <c r="A620" i="5"/>
  <c r="A311" i="5"/>
  <c r="A853" i="5"/>
  <c r="A543" i="5"/>
  <c r="A485" i="5"/>
  <c r="A515" i="5"/>
  <c r="A606" i="5"/>
  <c r="A182" i="5"/>
  <c r="A771" i="5"/>
  <c r="A702" i="5"/>
  <c r="A156" i="5"/>
  <c r="A498" i="5"/>
  <c r="A40" i="5"/>
  <c r="A308" i="5"/>
  <c r="A107" i="5"/>
  <c r="A1253" i="5"/>
  <c r="A530" i="5"/>
  <c r="A424" i="5"/>
  <c r="A264" i="5"/>
  <c r="A162" i="5"/>
  <c r="A437" i="5"/>
  <c r="A917" i="5"/>
  <c r="A873" i="5"/>
  <c r="A514" i="5"/>
  <c r="A1183" i="5"/>
  <c r="A621" i="5"/>
  <c r="A289" i="5"/>
  <c r="A427" i="5"/>
  <c r="A261" i="5"/>
  <c r="A397" i="5"/>
  <c r="A276" i="5"/>
  <c r="A1061" i="5"/>
  <c r="A133" i="5"/>
  <c r="A553" i="5"/>
  <c r="A627" i="5"/>
  <c r="A931" i="5"/>
  <c r="A50" i="5"/>
  <c r="A102" i="5"/>
  <c r="A223" i="5"/>
  <c r="A55" i="5"/>
  <c r="A318" i="5"/>
  <c r="A1119" i="5"/>
  <c r="A77" i="5"/>
  <c r="A367" i="5"/>
  <c r="A192" i="5"/>
  <c r="A568" i="5"/>
  <c r="A80" i="5"/>
  <c r="A26" i="5"/>
  <c r="A269" i="5"/>
  <c r="A155" i="5"/>
  <c r="A531" i="5"/>
  <c r="A762" i="5"/>
  <c r="A177" i="5"/>
  <c r="A586" i="5"/>
  <c r="A549" i="5"/>
  <c r="A772" i="5"/>
  <c r="A501" i="5"/>
  <c r="A480" i="5"/>
  <c r="A84" i="5"/>
  <c r="A143" i="5"/>
  <c r="A247" i="5"/>
  <c r="A472" i="5"/>
  <c r="A48" i="5"/>
  <c r="A70" i="5"/>
  <c r="A39" i="5"/>
  <c r="A1000" i="5"/>
  <c r="A332" i="5"/>
  <c r="A1175" i="5"/>
  <c r="A579" i="5"/>
  <c r="A840" i="5"/>
  <c r="A1174" i="5"/>
  <c r="A1082" i="5"/>
  <c r="A503" i="5"/>
  <c r="A769" i="5"/>
  <c r="A299" i="5"/>
  <c r="A566" i="5"/>
  <c r="A911" i="5"/>
  <c r="A477" i="5"/>
  <c r="A791" i="5"/>
  <c r="A245" i="5"/>
  <c r="A280" i="5"/>
  <c r="A222" i="5"/>
  <c r="A673" i="5"/>
  <c r="A207" i="5"/>
  <c r="A1090" i="5"/>
  <c r="A505" i="5"/>
  <c r="A121" i="5"/>
  <c r="A518" i="5"/>
  <c r="A897" i="5"/>
  <c r="A98" i="5"/>
  <c r="A837" i="5"/>
  <c r="A215" i="5"/>
  <c r="A784" i="5"/>
  <c r="A947" i="5"/>
  <c r="A306" i="5"/>
  <c r="A461" i="5"/>
  <c r="A950" i="5"/>
  <c r="A1019" i="5"/>
  <c r="A33" i="5"/>
  <c r="A668" i="5"/>
  <c r="A937" i="5"/>
  <c r="A526" i="5"/>
  <c r="A823" i="5"/>
  <c r="A1008" i="5"/>
  <c r="A719" i="5"/>
  <c r="A993" i="5"/>
  <c r="A413" i="5"/>
  <c r="A1190" i="5"/>
  <c r="A691" i="5"/>
  <c r="A1073" i="5"/>
  <c r="A1118" i="5"/>
  <c r="A707" i="5"/>
  <c r="A1085" i="5"/>
  <c r="A824" i="5"/>
  <c r="A1086" i="5"/>
  <c r="A725" i="5"/>
  <c r="A855" i="5"/>
  <c r="A1028" i="5"/>
  <c r="A153" i="5"/>
  <c r="A1242" i="5"/>
  <c r="A1163" i="5"/>
  <c r="A430" i="5"/>
  <c r="A1125" i="5"/>
  <c r="A997" i="5"/>
  <c r="A879" i="5"/>
  <c r="A1205" i="5"/>
  <c r="A372" i="5"/>
  <c r="A1042" i="5"/>
  <c r="A1162" i="5"/>
  <c r="A989" i="5"/>
  <c r="A1004" i="5"/>
  <c r="A1071" i="5"/>
  <c r="A274" i="5"/>
  <c r="A767" i="5"/>
  <c r="A126" i="5"/>
  <c r="A583" i="5"/>
  <c r="A1034" i="5"/>
  <c r="A1123" i="5"/>
  <c r="A798" i="5"/>
  <c r="A1063" i="5"/>
  <c r="A363" i="5"/>
  <c r="A909" i="5"/>
  <c r="A727" i="5"/>
  <c r="A96" i="5"/>
  <c r="A872" i="5"/>
  <c r="A749" i="5"/>
  <c r="A1117" i="5"/>
  <c r="A904" i="5"/>
  <c r="A1009" i="5"/>
  <c r="A848" i="5"/>
  <c r="A1102" i="5"/>
  <c r="A868" i="5"/>
  <c r="A690" i="5"/>
  <c r="A1005" i="5"/>
  <c r="A674" i="5"/>
  <c r="A926" i="5"/>
  <c r="A1197" i="5"/>
  <c r="A1236" i="5"/>
  <c r="A1252" i="5"/>
  <c r="A1164" i="5"/>
  <c r="A658" i="5"/>
  <c r="A1059" i="5"/>
  <c r="A932" i="5"/>
  <c r="A475" i="5"/>
  <c r="A616" i="5"/>
  <c r="A243" i="5"/>
  <c r="A415" i="5"/>
  <c r="A101" i="5"/>
  <c r="A555" i="5"/>
  <c r="A371" i="5"/>
  <c r="A79" i="5"/>
  <c r="A327" i="5"/>
  <c r="A150" i="5"/>
  <c r="A146" i="5"/>
  <c r="A74" i="5"/>
  <c r="A167" i="5"/>
  <c r="A795" i="5"/>
  <c r="A619" i="5"/>
  <c r="A797" i="5"/>
  <c r="A644" i="5"/>
  <c r="A905" i="5"/>
  <c r="A852" i="5"/>
  <c r="A1195" i="5"/>
  <c r="A569" i="5"/>
  <c r="A112" i="5"/>
  <c r="A83" i="5"/>
  <c r="A25" i="5"/>
  <c r="A614" i="5"/>
  <c r="A567" i="5"/>
  <c r="A865" i="5"/>
  <c r="A124" i="5"/>
  <c r="A635" i="5"/>
  <c r="A478" i="5"/>
  <c r="A331" i="5"/>
  <c r="A468" i="5"/>
  <c r="A1151" i="5"/>
  <c r="A43" i="5"/>
  <c r="A782" i="5"/>
  <c r="A599" i="5"/>
  <c r="A988" i="5"/>
  <c r="A142" i="5"/>
  <c r="A57" i="5"/>
  <c r="A44" i="5"/>
  <c r="A391" i="5"/>
  <c r="A542" i="5"/>
  <c r="A1239" i="5"/>
  <c r="A607" i="5"/>
  <c r="A1060" i="5"/>
  <c r="A1026" i="5"/>
  <c r="A716" i="5"/>
  <c r="A918" i="5"/>
  <c r="A11" i="5"/>
  <c r="A693" i="5"/>
  <c r="A510" i="5"/>
  <c r="A1203" i="5"/>
  <c r="A863" i="5"/>
  <c r="A1129" i="5"/>
  <c r="A592" i="5"/>
  <c r="A1025" i="5"/>
  <c r="A871" i="5"/>
  <c r="A99" i="5"/>
  <c r="A925" i="5"/>
  <c r="A785" i="5"/>
  <c r="A1245" i="5"/>
  <c r="A1187" i="5"/>
  <c r="A1068" i="5"/>
  <c r="A921" i="5"/>
  <c r="A973" i="5"/>
  <c r="A954" i="5"/>
  <c r="A615" i="5"/>
  <c r="A1124" i="5"/>
  <c r="A940" i="5"/>
  <c r="A1134" i="5"/>
  <c r="A275" i="5"/>
  <c r="A957" i="5"/>
  <c r="A1077" i="5"/>
  <c r="A744" i="5"/>
  <c r="A1188" i="5"/>
  <c r="A429" i="5"/>
  <c r="A1249" i="5"/>
  <c r="A1033" i="5"/>
  <c r="B416" i="5" l="1"/>
  <c r="B91" i="3" s="1"/>
  <c r="B406" i="17"/>
  <c r="B556" i="5"/>
  <c r="B542" i="17"/>
  <c r="B654" i="5"/>
  <c r="B638" i="17"/>
  <c r="B719" i="5"/>
  <c r="B702" i="17"/>
  <c r="C727" i="5"/>
  <c r="C710" i="17"/>
  <c r="B413" i="5"/>
  <c r="B84" i="3" s="1"/>
  <c r="B403" i="17"/>
  <c r="C416" i="5"/>
  <c r="B92" i="3" s="1"/>
  <c r="C406" i="17"/>
  <c r="B560" i="5"/>
  <c r="B546" i="17"/>
  <c r="B658" i="5"/>
  <c r="B642" i="17"/>
  <c r="B723" i="5"/>
  <c r="B706" i="17"/>
  <c r="C731" i="5"/>
  <c r="C714" i="17"/>
  <c r="B727" i="5"/>
  <c r="B710" i="17"/>
  <c r="B414" i="5"/>
  <c r="B86" i="3" s="1"/>
  <c r="B404" i="17"/>
  <c r="B731" i="5"/>
  <c r="B714" i="17"/>
  <c r="C609" i="5"/>
  <c r="C594" i="17"/>
  <c r="C414" i="5"/>
  <c r="B87" i="3" s="1"/>
  <c r="C404" i="17"/>
  <c r="B605" i="5"/>
  <c r="B590" i="17"/>
  <c r="C613" i="5"/>
  <c r="C598" i="17"/>
  <c r="C711" i="5"/>
  <c r="C694" i="17"/>
  <c r="B609" i="5"/>
  <c r="B594" i="17"/>
  <c r="C715" i="5"/>
  <c r="C698" i="17"/>
  <c r="B415" i="5"/>
  <c r="B89" i="3" s="1"/>
  <c r="B405" i="17"/>
  <c r="B613" i="5"/>
  <c r="B598" i="17"/>
  <c r="B711" i="5"/>
  <c r="B694" i="17"/>
  <c r="C556" i="5"/>
  <c r="C542" i="17"/>
  <c r="C654" i="5"/>
  <c r="C638" i="17"/>
  <c r="C719" i="5"/>
  <c r="C702" i="17"/>
  <c r="B43" i="5"/>
  <c r="B11" i="3" s="1"/>
  <c r="B43" i="17"/>
  <c r="C413" i="5"/>
  <c r="B85" i="3" s="1"/>
  <c r="C403" i="17"/>
  <c r="C605" i="5"/>
  <c r="C590" i="17"/>
  <c r="C703" i="5"/>
  <c r="C686" i="17"/>
  <c r="B703" i="5"/>
  <c r="B686" i="17"/>
  <c r="C415" i="5"/>
  <c r="B90" i="3" s="1"/>
  <c r="C405" i="17"/>
  <c r="B715" i="5"/>
  <c r="B698" i="17"/>
  <c r="C560" i="5"/>
  <c r="C546" i="17"/>
  <c r="C658" i="5"/>
  <c r="C642" i="17"/>
  <c r="C723" i="5"/>
  <c r="C706" i="17"/>
  <c r="C43" i="5"/>
  <c r="B12" i="3" s="1"/>
  <c r="C43" i="17"/>
  <c r="C41" i="5"/>
  <c r="B8" i="3" s="1"/>
  <c r="C41" i="17"/>
  <c r="B1043" i="5"/>
  <c r="B165" i="3" s="1"/>
  <c r="C1064" i="5"/>
  <c r="B1047" i="5"/>
  <c r="B168" i="3" s="1"/>
  <c r="C1047" i="5"/>
  <c r="B169" i="3" s="1"/>
  <c r="B1065" i="5"/>
  <c r="B1051" i="5"/>
  <c r="B171" i="3" s="1"/>
  <c r="C1051" i="5"/>
  <c r="B172" i="3" s="1"/>
  <c r="C1065" i="5"/>
  <c r="B1055" i="5"/>
  <c r="B174" i="3" s="1"/>
  <c r="C1055" i="5"/>
  <c r="B175" i="3" s="1"/>
  <c r="B1066" i="5"/>
  <c r="C1059" i="5"/>
  <c r="C1066" i="5"/>
  <c r="B1063" i="5"/>
  <c r="C1063" i="5"/>
  <c r="B1035" i="5"/>
  <c r="B159" i="3" s="1"/>
  <c r="C1035" i="5"/>
  <c r="B160" i="3" s="1"/>
  <c r="C1043" i="5"/>
  <c r="B166" i="3" s="1"/>
  <c r="B1059" i="5"/>
  <c r="B1039" i="5"/>
  <c r="B162" i="3" s="1"/>
  <c r="C1039" i="5"/>
  <c r="B163" i="3" s="1"/>
  <c r="B687" i="5"/>
  <c r="C695" i="5"/>
  <c r="B691" i="5"/>
  <c r="C699" i="5"/>
  <c r="B695" i="5"/>
  <c r="B699" i="5"/>
  <c r="C707" i="5"/>
  <c r="C679" i="5"/>
  <c r="B707" i="5"/>
  <c r="C683" i="5"/>
  <c r="B679" i="5"/>
  <c r="C687" i="5"/>
  <c r="B683" i="5"/>
  <c r="C691" i="5"/>
  <c r="B622" i="5"/>
  <c r="C630" i="5"/>
  <c r="C662" i="5"/>
  <c r="B626" i="5"/>
  <c r="C634" i="5"/>
  <c r="C666" i="5"/>
  <c r="B634" i="5"/>
  <c r="B666" i="5"/>
  <c r="C642" i="5"/>
  <c r="C674" i="5"/>
  <c r="B638" i="5"/>
  <c r="B670" i="5"/>
  <c r="C646" i="5"/>
  <c r="B630" i="5"/>
  <c r="B662" i="5"/>
  <c r="C638" i="5"/>
  <c r="C670" i="5"/>
  <c r="B642" i="5"/>
  <c r="B674" i="5"/>
  <c r="C650" i="5"/>
  <c r="B646" i="5"/>
  <c r="C622" i="5"/>
  <c r="B650" i="5"/>
  <c r="C626" i="5"/>
  <c r="B593" i="5"/>
  <c r="C569" i="5"/>
  <c r="C601" i="5"/>
  <c r="B589" i="5"/>
  <c r="C565" i="5"/>
  <c r="B565" i="5"/>
  <c r="B597" i="5"/>
  <c r="C573" i="5"/>
  <c r="B569" i="5"/>
  <c r="B601" i="5"/>
  <c r="C577" i="5"/>
  <c r="B573" i="5"/>
  <c r="C581" i="5"/>
  <c r="B577" i="5"/>
  <c r="C585" i="5"/>
  <c r="C617" i="5"/>
  <c r="C597" i="5"/>
  <c r="B581" i="5"/>
  <c r="C589" i="5"/>
  <c r="B585" i="5"/>
  <c r="B617" i="5"/>
  <c r="C593" i="5"/>
  <c r="B524" i="5"/>
  <c r="C532" i="5"/>
  <c r="B528" i="5"/>
  <c r="C536" i="5"/>
  <c r="C508" i="5"/>
  <c r="B532" i="5"/>
  <c r="C540" i="5"/>
  <c r="B536" i="5"/>
  <c r="C512" i="5"/>
  <c r="C544" i="5"/>
  <c r="B508" i="5"/>
  <c r="B540" i="5"/>
  <c r="C516" i="5"/>
  <c r="C548" i="5"/>
  <c r="B512" i="5"/>
  <c r="B544" i="5"/>
  <c r="C520" i="5"/>
  <c r="C552" i="5"/>
  <c r="B516" i="5"/>
  <c r="B548" i="5"/>
  <c r="C524" i="5"/>
  <c r="B520" i="5"/>
  <c r="B552" i="5"/>
  <c r="C528" i="5"/>
  <c r="B459" i="5"/>
  <c r="B491" i="5"/>
  <c r="C467" i="5"/>
  <c r="C499" i="5"/>
  <c r="B463" i="5"/>
  <c r="B495" i="5"/>
  <c r="C471" i="5"/>
  <c r="C503" i="5"/>
  <c r="B467" i="5"/>
  <c r="B499" i="5"/>
  <c r="C475" i="5"/>
  <c r="B471" i="5"/>
  <c r="B503" i="5"/>
  <c r="C479" i="5"/>
  <c r="B475" i="5"/>
  <c r="C483" i="5"/>
  <c r="B479" i="5"/>
  <c r="C455" i="5"/>
  <c r="C487" i="5"/>
  <c r="C451" i="5"/>
  <c r="B451" i="5"/>
  <c r="B483" i="5"/>
  <c r="C459" i="5"/>
  <c r="C491" i="5"/>
  <c r="B455" i="5"/>
  <c r="B487" i="5"/>
  <c r="C463" i="5"/>
  <c r="C495" i="5"/>
  <c r="K98" i="6"/>
  <c r="B42" i="5"/>
  <c r="B9" i="3" s="1"/>
  <c r="M98" i="6"/>
  <c r="C42" i="5"/>
  <c r="B10" i="3" s="1"/>
  <c r="G98" i="6"/>
  <c r="B41" i="5"/>
  <c r="B7" i="3" s="1"/>
  <c r="R110" i="10"/>
  <c r="C732" i="5" s="1"/>
  <c r="P110" i="10"/>
  <c r="B732" i="5" s="1"/>
  <c r="P92" i="10"/>
  <c r="R92" i="10"/>
  <c r="R73" i="10"/>
  <c r="P73" i="10"/>
  <c r="R54" i="10"/>
  <c r="P54" i="10"/>
  <c r="P35" i="10"/>
  <c r="B504" i="5" s="1"/>
  <c r="R35" i="10"/>
  <c r="C504" i="5" s="1"/>
  <c r="G58" i="8"/>
  <c r="O98" i="6"/>
  <c r="L58" i="8"/>
  <c r="I98" i="6"/>
  <c r="Q98" i="6"/>
  <c r="N58" i="8"/>
  <c r="E58" i="8"/>
  <c r="R32" i="12"/>
  <c r="B1045" i="17" s="1"/>
  <c r="I58" i="8"/>
  <c r="A638" i="5"/>
  <c r="A1053" i="5"/>
  <c r="A105" i="5"/>
  <c r="A764" i="5"/>
  <c r="A383" i="5"/>
  <c r="A982" i="5"/>
  <c r="A1178" i="5"/>
  <c r="A1235" i="5"/>
  <c r="A804" i="5"/>
  <c r="A1127" i="5"/>
  <c r="A913" i="5"/>
  <c r="A835" i="5"/>
  <c r="A175" i="5"/>
  <c r="A355" i="5"/>
  <c r="A538" i="5"/>
  <c r="A916" i="5"/>
  <c r="A417" i="5"/>
  <c r="A818" i="5"/>
  <c r="A601" i="5"/>
  <c r="A225" i="5"/>
  <c r="A838" i="5"/>
  <c r="A467" i="5"/>
  <c r="A218" i="5"/>
  <c r="A493" i="5"/>
  <c r="A301" i="5"/>
  <c r="A135" i="5"/>
  <c r="A544" i="5"/>
  <c r="A407" i="5"/>
  <c r="A432" i="5"/>
  <c r="A389" i="5"/>
  <c r="A1130" i="5"/>
  <c r="A374" i="5"/>
  <c r="A422" i="5"/>
  <c r="A257" i="5"/>
  <c r="A228" i="5"/>
  <c r="A650" i="5"/>
  <c r="A174" i="5"/>
  <c r="A163" i="5"/>
  <c r="A224" i="5"/>
  <c r="A15" i="5"/>
  <c r="A960" i="5"/>
  <c r="A249" i="5"/>
  <c r="A878" i="5"/>
  <c r="A1083" i="5"/>
  <c r="A272" i="5"/>
  <c r="A420" i="5"/>
  <c r="A465" i="5"/>
  <c r="A252" i="5"/>
  <c r="A747" i="5"/>
  <c r="A1017" i="5"/>
  <c r="A283" i="5"/>
  <c r="A384" i="5"/>
  <c r="A1158" i="5"/>
  <c r="A78" i="5"/>
  <c r="A731" i="5"/>
  <c r="A1050" i="5"/>
  <c r="A328" i="5"/>
  <c r="A300" i="5"/>
  <c r="A734" i="5"/>
  <c r="A30" i="5"/>
  <c r="A343" i="5"/>
  <c r="A576" i="5"/>
  <c r="A490" i="5"/>
  <c r="A653" i="5"/>
  <c r="A1044" i="5"/>
  <c r="A547" i="5"/>
  <c r="A971" i="5"/>
  <c r="A811" i="5"/>
  <c r="A736" i="5"/>
  <c r="A29" i="5"/>
  <c r="A1237" i="5"/>
  <c r="A814" i="5"/>
  <c r="A1171" i="5"/>
  <c r="A73" i="5"/>
  <c r="A1137" i="5"/>
  <c r="A520" i="5"/>
  <c r="A705" i="5"/>
  <c r="A799" i="5"/>
  <c r="A279" i="5"/>
  <c r="A806" i="5"/>
  <c r="A1152" i="5"/>
  <c r="A827" i="5"/>
  <c r="A360" i="5"/>
  <c r="A110" i="5"/>
  <c r="A364" i="5"/>
  <c r="A822" i="5"/>
  <c r="A1222" i="5"/>
  <c r="A414" i="5"/>
  <c r="A341" i="5"/>
  <c r="A375" i="5"/>
  <c r="A836" i="5"/>
  <c r="A298" i="5"/>
  <c r="A755" i="5"/>
  <c r="A181" i="5"/>
  <c r="A97" i="5"/>
  <c r="A259" i="5"/>
  <c r="A652" i="5"/>
  <c r="A708" i="5"/>
  <c r="A378" i="5"/>
  <c r="A376" i="5"/>
  <c r="A958" i="5"/>
  <c r="A1156" i="5"/>
  <c r="A93" i="5"/>
  <c r="A574" i="5"/>
  <c r="A314" i="5"/>
  <c r="A53" i="5"/>
  <c r="A197" i="5"/>
  <c r="A900" i="5"/>
  <c r="A483" i="5"/>
  <c r="A788" i="5"/>
  <c r="A166" i="5"/>
  <c r="A253" i="5"/>
  <c r="A819" i="5"/>
  <c r="A524" i="5"/>
  <c r="A593" i="5"/>
  <c r="A499" i="5"/>
  <c r="A636" i="5"/>
  <c r="A920" i="5"/>
  <c r="A655" i="5"/>
  <c r="A507" i="5"/>
  <c r="A612" i="5"/>
  <c r="A506" i="5"/>
  <c r="A108" i="5"/>
  <c r="A525" i="5"/>
  <c r="A164" i="5"/>
  <c r="A66" i="5"/>
  <c r="A320" i="5"/>
  <c r="A591" i="5"/>
  <c r="A805" i="5"/>
  <c r="A816" i="5"/>
  <c r="A1089" i="5"/>
  <c r="A1232" i="5"/>
  <c r="A577" i="5"/>
  <c r="A738" i="5"/>
  <c r="A482" i="5"/>
  <c r="A979" i="5"/>
  <c r="A95" i="5"/>
  <c r="A939" i="5"/>
  <c r="A985" i="5"/>
  <c r="A326" i="5"/>
  <c r="A1169" i="5"/>
  <c r="A1240" i="5"/>
  <c r="A781" i="5"/>
  <c r="A1048" i="5"/>
  <c r="A648" i="5"/>
  <c r="A770" i="5"/>
  <c r="A1029" i="5"/>
  <c r="A741" i="5"/>
  <c r="A1132" i="5"/>
  <c r="A346" i="5"/>
  <c r="A416" i="5"/>
  <c r="A20" i="5"/>
  <c r="A803" i="5"/>
  <c r="A1054" i="5"/>
  <c r="A1241" i="5"/>
  <c r="A887" i="5"/>
  <c r="A951" i="5"/>
  <c r="A148" i="5"/>
  <c r="A941" i="5"/>
  <c r="A1128" i="5"/>
  <c r="A1037" i="5"/>
  <c r="A584" i="5"/>
  <c r="A1140" i="5"/>
  <c r="A990" i="5"/>
  <c r="A642" i="5"/>
  <c r="A692" i="5"/>
  <c r="A643" i="5"/>
  <c r="A880" i="5"/>
  <c r="A952" i="5"/>
  <c r="A1064" i="5"/>
  <c r="A394" i="5"/>
  <c r="A523" i="5"/>
  <c r="A888" i="5"/>
  <c r="A159" i="5"/>
  <c r="A517" i="5"/>
  <c r="A861" i="5"/>
  <c r="A1166" i="5"/>
  <c r="A90" i="5"/>
  <c r="A119" i="5"/>
  <c r="A464" i="5"/>
  <c r="A373" i="5"/>
  <c r="A662" i="5"/>
  <c r="A934" i="5"/>
  <c r="A1107" i="5"/>
  <c r="A209" i="5"/>
  <c r="A1204" i="5"/>
  <c r="A821" i="5"/>
  <c r="A304" i="5"/>
  <c r="A248" i="5"/>
  <c r="A296" i="5"/>
  <c r="A914" i="5"/>
  <c r="A1038" i="5"/>
  <c r="A52" i="5"/>
  <c r="A325" i="5"/>
  <c r="A281" i="5"/>
  <c r="A882" i="5"/>
  <c r="A1233" i="5"/>
  <c r="A983" i="5"/>
  <c r="A442" i="5"/>
  <c r="A802" i="5"/>
  <c r="A408" i="5"/>
  <c r="A1215" i="5"/>
  <c r="A399" i="5"/>
  <c r="A54" i="5"/>
  <c r="A387" i="5"/>
  <c r="A792" i="5"/>
  <c r="A626" i="5"/>
  <c r="A129" i="5"/>
  <c r="A578" i="5"/>
  <c r="A710" i="5"/>
  <c r="A168" i="5"/>
  <c r="A1049" i="5"/>
  <c r="A1196" i="5"/>
  <c r="A321" i="5"/>
  <c r="A479" i="5"/>
  <c r="A453" i="5"/>
  <c r="A1031" i="5"/>
  <c r="A260" i="5"/>
  <c r="A268" i="5"/>
  <c r="A763" i="5"/>
  <c r="A595" i="5"/>
  <c r="A359" i="5"/>
  <c r="A1043" i="5"/>
  <c r="A919" i="5"/>
  <c r="A886" i="5"/>
  <c r="A1035" i="5"/>
  <c r="A421" i="5"/>
  <c r="A562" i="5"/>
  <c r="A1024" i="5"/>
  <c r="A828" i="5"/>
  <c r="A935" i="5"/>
  <c r="A548" i="5"/>
  <c r="A765" i="5"/>
  <c r="A196" i="5"/>
  <c r="A933" i="5"/>
  <c r="A778" i="5"/>
  <c r="A656" i="5"/>
  <c r="A677" i="5"/>
  <c r="A598" i="5"/>
  <c r="A333" i="5"/>
  <c r="A1121" i="5"/>
  <c r="A206" i="5"/>
  <c r="A35" i="5"/>
  <c r="A85" i="5"/>
  <c r="A726" i="5"/>
  <c r="A1078" i="5"/>
  <c r="A870" i="5"/>
  <c r="A809" i="5"/>
  <c r="A970" i="5"/>
  <c r="A339" i="5"/>
  <c r="A370" i="5"/>
  <c r="A750" i="5"/>
  <c r="A774" i="5"/>
  <c r="A1193" i="5"/>
  <c r="A212" i="5"/>
  <c r="A500" i="5"/>
  <c r="A876" i="5"/>
  <c r="A1093" i="5"/>
  <c r="A624" i="5"/>
  <c r="A906" i="5"/>
  <c r="A297" i="5"/>
  <c r="A452" i="5"/>
  <c r="A114" i="5"/>
  <c r="A842" i="5"/>
  <c r="A1006" i="5"/>
  <c r="A639" i="5"/>
  <c r="A282" i="5"/>
  <c r="A927" i="5"/>
  <c r="A1165" i="5"/>
  <c r="A1012" i="5"/>
  <c r="A999" i="5"/>
  <c r="A1062" i="5"/>
  <c r="A695" i="5"/>
  <c r="A860" i="5"/>
  <c r="A986" i="5"/>
  <c r="A669" i="5"/>
  <c r="A874" i="5"/>
  <c r="A186" i="5"/>
  <c r="P32" i="12"/>
  <c r="A60" i="5"/>
  <c r="A1142" i="5"/>
  <c r="A859" i="5"/>
  <c r="A244" i="5"/>
  <c r="A1036" i="5"/>
  <c r="A1185" i="5"/>
  <c r="A1079" i="5"/>
  <c r="A1144" i="5"/>
  <c r="A1217" i="5"/>
  <c r="A199" i="5"/>
  <c r="A728" i="5"/>
  <c r="A633" i="5"/>
  <c r="A1219" i="5"/>
  <c r="A1155" i="5"/>
  <c r="A462" i="5"/>
  <c r="A1170" i="5"/>
  <c r="A406" i="5"/>
  <c r="A457" i="5"/>
  <c r="A345" i="5"/>
  <c r="A972" i="5"/>
  <c r="A594" i="5"/>
  <c r="A996" i="5"/>
  <c r="A761" i="5"/>
  <c r="A715" i="5"/>
  <c r="A1160" i="5"/>
  <c r="A991" i="5"/>
  <c r="A1223" i="5"/>
  <c r="A1191" i="5"/>
  <c r="A190" i="5"/>
  <c r="A1206" i="5"/>
  <c r="A849" i="5"/>
  <c r="A866" i="5"/>
  <c r="A745" i="5"/>
  <c r="A903" i="5"/>
  <c r="A740" i="5"/>
  <c r="A1218" i="5"/>
  <c r="A1076" i="5"/>
  <c r="A793" i="5"/>
  <c r="A1070" i="5"/>
  <c r="A881" i="5"/>
  <c r="A226" i="5"/>
  <c r="A118" i="5"/>
  <c r="A216" i="5"/>
  <c r="A1110" i="5"/>
  <c r="A766" i="5"/>
  <c r="A1104" i="5"/>
  <c r="A645" i="5"/>
  <c r="A88" i="5"/>
  <c r="A151" i="5"/>
  <c r="A1238" i="5"/>
  <c r="A230" i="5"/>
  <c r="A867" i="5"/>
  <c r="A1148" i="5"/>
  <c r="A1181" i="5"/>
  <c r="A610" i="5"/>
  <c r="A1161" i="5"/>
  <c r="A1092" i="5"/>
  <c r="A1106" i="5"/>
  <c r="A324" i="5"/>
  <c r="A236" i="5"/>
  <c r="A357" i="5"/>
  <c r="A701" i="5"/>
  <c r="A697" i="5"/>
  <c r="A1020" i="5"/>
  <c r="A254" i="5"/>
  <c r="A554" i="5"/>
  <c r="A775" i="5"/>
  <c r="A786" i="5"/>
  <c r="A7" i="5"/>
  <c r="A1091" i="5"/>
  <c r="A899" i="5"/>
  <c r="A889" i="5"/>
  <c r="A681" i="5"/>
  <c r="A659" i="5"/>
  <c r="A757" i="5"/>
  <c r="A826" i="5"/>
  <c r="A743" i="5"/>
  <c r="A184" i="5"/>
  <c r="A704" i="5"/>
  <c r="A5" i="5"/>
  <c r="A959" i="5"/>
  <c r="A1032" i="5"/>
  <c r="A1246" i="5"/>
  <c r="A21" i="5"/>
  <c r="A368" i="5"/>
  <c r="A172" i="5"/>
  <c r="A1251" i="5"/>
  <c r="A444" i="5"/>
  <c r="A800" i="5"/>
  <c r="A739" i="5"/>
  <c r="A1208" i="5"/>
  <c r="A81" i="5"/>
  <c r="A335" i="5"/>
  <c r="A678" i="5"/>
  <c r="A157" i="5"/>
  <c r="A1194" i="5"/>
  <c r="A891" i="5"/>
  <c r="A398" i="5"/>
  <c r="A1172" i="5"/>
  <c r="A82" i="5"/>
  <c r="A41" i="5"/>
  <c r="A380" i="5"/>
  <c r="A1138" i="5"/>
  <c r="A967" i="5"/>
  <c r="A1109" i="5"/>
  <c r="A945" i="5"/>
  <c r="A893" i="5"/>
  <c r="A347" i="5"/>
  <c r="A491" i="5"/>
  <c r="A401" i="5"/>
  <c r="A454" i="5"/>
  <c r="A1084" i="5"/>
  <c r="A47" i="5"/>
  <c r="A689" i="5"/>
  <c r="C202" i="5" l="1"/>
  <c r="B47" i="3" s="1"/>
  <c r="C202" i="17"/>
  <c r="B200" i="5"/>
  <c r="B42" i="3" s="1"/>
  <c r="B200" i="17"/>
  <c r="C201" i="5"/>
  <c r="B45" i="3" s="1"/>
  <c r="C201" i="17"/>
  <c r="B202" i="5"/>
  <c r="B46" i="3" s="1"/>
  <c r="B202" i="17"/>
  <c r="C417" i="5"/>
  <c r="B95" i="3" s="1"/>
  <c r="C407" i="17"/>
  <c r="B201" i="5"/>
  <c r="B44" i="3" s="1"/>
  <c r="B201" i="17"/>
  <c r="B115" i="3"/>
  <c r="B126" i="3"/>
  <c r="B127" i="3"/>
  <c r="B418" i="5"/>
  <c r="B96" i="3" s="1"/>
  <c r="B408" i="17"/>
  <c r="B417" i="5"/>
  <c r="B94" i="3" s="1"/>
  <c r="B407" i="17"/>
  <c r="C418" i="5"/>
  <c r="B97" i="3" s="1"/>
  <c r="C408" i="17"/>
  <c r="C200" i="5"/>
  <c r="B43" i="3" s="1"/>
  <c r="C200" i="17"/>
  <c r="B1068" i="5"/>
  <c r="B177" i="3" s="1"/>
  <c r="C675" i="5"/>
  <c r="B124" i="3" s="1"/>
  <c r="B675" i="5"/>
  <c r="B123" i="3" s="1"/>
  <c r="C618" i="5"/>
  <c r="B121" i="3" s="1"/>
  <c r="B618" i="5"/>
  <c r="B120" i="3" s="1"/>
  <c r="B561" i="5"/>
  <c r="B117" i="3" s="1"/>
  <c r="C561" i="5"/>
  <c r="B118" i="3" s="1"/>
  <c r="B114" i="3"/>
  <c r="P112" i="10"/>
  <c r="R112" i="10"/>
  <c r="C736" i="5" l="1"/>
  <c r="B130" i="3" s="1"/>
  <c r="C718" i="17"/>
  <c r="B736" i="5"/>
  <c r="B129" i="3" s="1"/>
  <c r="B718" i="17"/>
  <c r="C4" i="3"/>
</calcChain>
</file>

<file path=xl/sharedStrings.xml><?xml version="1.0" encoding="utf-8"?>
<sst xmlns="http://schemas.openxmlformats.org/spreadsheetml/2006/main" count="1333" uniqueCount="443">
  <si>
    <t>CENTRAL BANK OF TRINIDAD AND TOBAGO</t>
  </si>
  <si>
    <t>MONTH:</t>
  </si>
  <si>
    <t>YEAR:</t>
  </si>
  <si>
    <t xml:space="preserve">OUTSTANDING </t>
  </si>
  <si>
    <t>A.</t>
  </si>
  <si>
    <t>SECTOR AND SIZE</t>
  </si>
  <si>
    <t>BALANCE AS OF</t>
  </si>
  <si>
    <t>DURING</t>
  </si>
  <si>
    <t>BALANCE AS AT</t>
  </si>
  <si>
    <t>PRIOR QUARTER</t>
  </si>
  <si>
    <t>QUARTER</t>
  </si>
  <si>
    <t>QUARTER END</t>
  </si>
  <si>
    <t>NO.</t>
  </si>
  <si>
    <t>VALUE</t>
  </si>
  <si>
    <t>( $000 )</t>
  </si>
  <si>
    <t>1 .</t>
  </si>
  <si>
    <t>PUBLIC SECTOR</t>
  </si>
  <si>
    <t>2 .</t>
  </si>
  <si>
    <t>PRIVATE FINANCIAL</t>
  </si>
  <si>
    <t>3 .</t>
  </si>
  <si>
    <t xml:space="preserve">INCORPORATED </t>
  </si>
  <si>
    <t>4 .</t>
  </si>
  <si>
    <t xml:space="preserve">UNINCORPORATED </t>
  </si>
  <si>
    <t xml:space="preserve">5 . </t>
  </si>
  <si>
    <t>CONSUMERS</t>
  </si>
  <si>
    <t xml:space="preserve"> </t>
  </si>
  <si>
    <t>T O T A L</t>
  </si>
  <si>
    <t>HIGHEST</t>
  </si>
  <si>
    <t>LOWEST</t>
  </si>
  <si>
    <t xml:space="preserve">Name of Person Completing Form </t>
  </si>
  <si>
    <t xml:space="preserve">Signature of Person Completing Form </t>
  </si>
  <si>
    <t>(Block Letters)</t>
  </si>
  <si>
    <t xml:space="preserve">Name of Authorised Official </t>
  </si>
  <si>
    <t xml:space="preserve">Signature of Authorised Official </t>
  </si>
  <si>
    <t xml:space="preserve">Position/Office Held </t>
  </si>
  <si>
    <t>(Place Company Stamp)</t>
  </si>
  <si>
    <t>AGREED PERIOD OF</t>
  </si>
  <si>
    <t>TOTAL VALUE OF</t>
  </si>
  <si>
    <t>REPAYMENT</t>
  </si>
  <si>
    <t>( # )</t>
  </si>
  <si>
    <t>Over 25 year to 30 years</t>
  </si>
  <si>
    <t>Over 30 years</t>
  </si>
  <si>
    <t>Unspecified</t>
  </si>
  <si>
    <t>B.</t>
  </si>
  <si>
    <t>PURPOSE</t>
  </si>
  <si>
    <t>ACQUISITION OF NEWLY</t>
  </si>
  <si>
    <t>CONSTRUCTED HOUSES</t>
  </si>
  <si>
    <t>PURCHASE OF EXISTING</t>
  </si>
  <si>
    <t>HOUSES</t>
  </si>
  <si>
    <t>PURCHASE OF LAND</t>
  </si>
  <si>
    <t>NO. OF LOAN APPLICATIONS RECEIVED DURING THE QUARTER</t>
  </si>
  <si>
    <t>B.  PURPOSE</t>
  </si>
  <si>
    <t>15.1% and Over</t>
  </si>
  <si>
    <t>FRMs</t>
  </si>
  <si>
    <t>ARMs</t>
  </si>
  <si>
    <t>VRMs</t>
  </si>
  <si>
    <t>VALUE OF</t>
  </si>
  <si>
    <t xml:space="preserve"> VALUE OF</t>
  </si>
  <si>
    <t>NEW MORTGAGES</t>
  </si>
  <si>
    <t>FIXED RATE</t>
  </si>
  <si>
    <t xml:space="preserve">VARIABLE RATE </t>
  </si>
  <si>
    <t>ADJUSTABLE RATE</t>
  </si>
  <si>
    <t>SECTOR AND TYPE</t>
  </si>
  <si>
    <t xml:space="preserve">QUARTER </t>
  </si>
  <si>
    <t>MARGIN</t>
  </si>
  <si>
    <t>INTEREST</t>
  </si>
  <si>
    <t>APPLIED</t>
  </si>
  <si>
    <t>C.  SECTOR AND TYPE</t>
  </si>
  <si>
    <t>D. BY AGREED PERIOD OF REPAYMENT AND TYPE</t>
  </si>
  <si>
    <t>C.</t>
  </si>
  <si>
    <t>LAND ONLY</t>
  </si>
  <si>
    <t>LAND AND HOUSE</t>
  </si>
  <si>
    <t>LAND AND BUILDING</t>
  </si>
  <si>
    <t>D.</t>
  </si>
  <si>
    <t>FIXED RATE MORTGAGES</t>
  </si>
  <si>
    <t>ADJUSTABLE RATE MORTGAGES</t>
  </si>
  <si>
    <t>TOTAL FUNDS UNDER ADMINISTRATION</t>
  </si>
  <si>
    <t>( $ 000 )</t>
  </si>
  <si>
    <t xml:space="preserve">REAL ESTATE MORTGAGE LOANS </t>
  </si>
  <si>
    <t>- TOTAL</t>
  </si>
  <si>
    <t>Date</t>
  </si>
  <si>
    <t>TOTAL INVESTMENT IN REAL ESTATE MORTGAGES</t>
  </si>
  <si>
    <t>END OF PRIOR QUARTER</t>
  </si>
  <si>
    <t>MEMO :</t>
  </si>
  <si>
    <t>LOANS RESCHEDULED</t>
  </si>
  <si>
    <t>( REFERS TO ITEMS 1 - 3,</t>
  </si>
  <si>
    <t>ABOVE )</t>
  </si>
  <si>
    <t>RESIDENTIAL</t>
  </si>
  <si>
    <t>NON - RESIDENTIAL</t>
  </si>
  <si>
    <t>TRUSTEE FUNDS - INVESTMENT PORTFOLIO FOR REAL ESTATE MORTGAGES</t>
  </si>
  <si>
    <t>OUTSTANDING</t>
  </si>
  <si>
    <t>IMPROVEMENT</t>
  </si>
  <si>
    <t>Up to 5 years</t>
  </si>
  <si>
    <t>Over 5 years to 10 years</t>
  </si>
  <si>
    <t>Over 15 years to 20 years</t>
  </si>
  <si>
    <t>Over 20 years to 25 years</t>
  </si>
  <si>
    <t>Under $450,000</t>
  </si>
  <si>
    <t>DISBURSED</t>
  </si>
  <si>
    <t>APPROVED</t>
  </si>
  <si>
    <t>REAL ESTATE MORTGAGES - QUARTERLY</t>
  </si>
  <si>
    <t xml:space="preserve"> NEW REAL ESTATE MORTGAGES </t>
  </si>
  <si>
    <t>NUMBER OF DISCLOSURE STATEMENTS DISTRIBUTED</t>
  </si>
  <si>
    <t>VARIABLE RATE MORTGAGES</t>
  </si>
  <si>
    <t>Over $3,000,001</t>
  </si>
  <si>
    <t>3.0% and Under</t>
  </si>
  <si>
    <t>DISBURSED/GRANTED</t>
  </si>
  <si>
    <t>COMMERCIAL</t>
  </si>
  <si>
    <t>RESIDENTIAL MORTGAGES</t>
  </si>
  <si>
    <t>TOTAL GRANTED/DISBURSED</t>
  </si>
  <si>
    <t>- RESIDENTIAL</t>
  </si>
  <si>
    <t>- NON - RESIDENTIAL</t>
  </si>
  <si>
    <t>Over 10 years to 15 years</t>
  </si>
  <si>
    <t>INSTITUTIONS</t>
  </si>
  <si>
    <t>BUSINESSES</t>
  </si>
  <si>
    <t>RENOVATION/</t>
  </si>
  <si>
    <t>NUM</t>
  </si>
  <si>
    <t>VAL</t>
  </si>
  <si>
    <t>cb30A</t>
  </si>
  <si>
    <t>Maximum Period(30Yrs)</t>
  </si>
  <si>
    <t>REAL ESTATE MORTGAGE LOANS GRANTED/DISBURSED QUARTERLY</t>
  </si>
  <si>
    <t xml:space="preserve">3.1%  4.0% </t>
  </si>
  <si>
    <t xml:space="preserve">4.1%  5.0% </t>
  </si>
  <si>
    <t xml:space="preserve">5.1%  6.0% </t>
  </si>
  <si>
    <t>6.1%  7.0%</t>
  </si>
  <si>
    <t>7.1%  8.0%</t>
  </si>
  <si>
    <t>8.1%  9.0%</t>
  </si>
  <si>
    <t>9.1%  10.0%</t>
  </si>
  <si>
    <t>10.1%  11.0%</t>
  </si>
  <si>
    <t>11.1%  12.0%</t>
  </si>
  <si>
    <t>12.1%  13.0%</t>
  </si>
  <si>
    <t>13.1%  14.0%</t>
  </si>
  <si>
    <t>14.1%  15.0%</t>
  </si>
  <si>
    <t>INSTITUTION:</t>
  </si>
  <si>
    <t>REAL ESTATE MORTGAGE LOANS  QUARTERLY</t>
  </si>
  <si>
    <t xml:space="preserve"> A. CHANGES  SECTOR AND SIZE</t>
  </si>
  <si>
    <t>$450,001  $750,000</t>
  </si>
  <si>
    <t>$750,001  $1,000,000</t>
  </si>
  <si>
    <t>$1,000,001  $1,250,000</t>
  </si>
  <si>
    <t>$1,250,001  $1,500,000</t>
  </si>
  <si>
    <t>$1,500,001  $1,750,000</t>
  </si>
  <si>
    <t>$1,750,001  $2,000,000</t>
  </si>
  <si>
    <t>$2,000,001  $2,250,000</t>
  </si>
  <si>
    <t>$2,250,001  $2,500,000</t>
  </si>
  <si>
    <t>$2,500,001  $2,750,000</t>
  </si>
  <si>
    <t>$2,750,001  $3,000,000</t>
  </si>
  <si>
    <t xml:space="preserve">  A. CHANGES  SECTOR AND ACCORDING TO INTEREST RATE </t>
  </si>
  <si>
    <t xml:space="preserve">  A. CHANGES  PROPERTY TYPE AND ACCORDING TO INTEREST RATE </t>
  </si>
  <si>
    <t>SUBT O T A L</t>
  </si>
  <si>
    <t>INTEREST RATE SCHEDULE  REAL ESTATE MORTGAGE LOANS  QUARTERLY</t>
  </si>
  <si>
    <t>E.  ACTUAL LOAN RATES  SECTOR AND TYPE</t>
  </si>
  <si>
    <t>OUTSTANDING REAL ESTATE MORTGAGES  QUARTERLY</t>
  </si>
  <si>
    <t xml:space="preserve">5.1%  6% </t>
  </si>
  <si>
    <t xml:space="preserve">3.1%  4% </t>
  </si>
  <si>
    <t xml:space="preserve">4.1%  5% </t>
  </si>
  <si>
    <t>Caribbean Finance Company Limited</t>
  </si>
  <si>
    <t>First Citizens Trustee Services Limited</t>
  </si>
  <si>
    <t>AVERAGE LOAN-TO-VALUE RATIOS ON NEW MORTGAGES GRANTED (PER CENT NUMBER ONLY). E.G. ratio 10.25% is entered as 10.25</t>
  </si>
  <si>
    <t>hdr</t>
  </si>
  <si>
    <t>3an</t>
  </si>
  <si>
    <t>sect1</t>
  </si>
  <si>
    <t>sect2</t>
  </si>
  <si>
    <t>sect3</t>
  </si>
  <si>
    <t>sect4</t>
  </si>
  <si>
    <t>RATE</t>
  </si>
  <si>
    <t>sect5</t>
  </si>
  <si>
    <t>sect6</t>
  </si>
  <si>
    <t>sect7</t>
  </si>
  <si>
    <t>sect8</t>
  </si>
  <si>
    <t>sect9</t>
  </si>
  <si>
    <t>sect10</t>
  </si>
  <si>
    <t>sect11</t>
  </si>
  <si>
    <t>sect12</t>
  </si>
  <si>
    <t>JMMB Express Finance (T&amp;T) Limited</t>
  </si>
  <si>
    <t>Citibank (Trinidad &amp; Tobago) Limited</t>
  </si>
  <si>
    <t>Citicorp Merchant Bank Limited</t>
  </si>
  <si>
    <t>First Citizens Bank Limited</t>
  </si>
  <si>
    <t>RBC Investment Management (Caribbean) Limited</t>
  </si>
  <si>
    <t>RBC Merchant Bank (Caribbean) Limited</t>
  </si>
  <si>
    <t>RBC Royal Bank (Trinidad and Tobago) Limited</t>
  </si>
  <si>
    <t>RBC Trust (Trinidad and Tobago) Limited</t>
  </si>
  <si>
    <t>First Citizens Depository Services Limited</t>
  </si>
  <si>
    <t>NCB Merchant Bank (Trinidad and Tobago) Limited</t>
  </si>
  <si>
    <t>For the Quarter Ended:</t>
  </si>
  <si>
    <t>Date Submitted:</t>
  </si>
  <si>
    <t>Type mm/dd/yyyy</t>
  </si>
  <si>
    <t>SELECT INSTITUTION</t>
  </si>
  <si>
    <t>C.B. 30A/10</t>
  </si>
  <si>
    <t>SUB TOTAL</t>
  </si>
  <si>
    <t>CB 30A/9</t>
  </si>
  <si>
    <t>CB 30A/8</t>
  </si>
  <si>
    <t>CB 30A/7</t>
  </si>
  <si>
    <t>CB 30A/6</t>
  </si>
  <si>
    <t>CB 30A/5</t>
  </si>
  <si>
    <t>CB 30A/4</t>
  </si>
  <si>
    <t>CB 30A/3</t>
  </si>
  <si>
    <t>CB 30A/2</t>
  </si>
  <si>
    <t>CB 30A/1</t>
  </si>
  <si>
    <t>VARIABLE RATE</t>
  </si>
  <si>
    <t>CB30A RETURN</t>
  </si>
  <si>
    <t xml:space="preserve">Please use the CB30A instructions to complete the return using the link below. </t>
  </si>
  <si>
    <t>CB30A INSTRUCTIONS</t>
  </si>
  <si>
    <t>GENERAL INSTRUCTIONS</t>
  </si>
  <si>
    <t>Do not amend the structure/format.</t>
  </si>
  <si>
    <t>Do not remove the password protection.</t>
  </si>
  <si>
    <t>Do not manipulate the formulas.</t>
  </si>
  <si>
    <t xml:space="preserve">Complete Cover Page before submission. 
Institution, reporting quarter and date submitted must be populated. </t>
  </si>
  <si>
    <t>No blank cells.  All cells must be populated with zero where there is no data.</t>
  </si>
  <si>
    <t>N/A, N/D, NA/ND, NA and ND cannot be used in the return.</t>
  </si>
  <si>
    <t>Do not use text.</t>
  </si>
  <si>
    <t>Ensure all values are zero in the validation tab.
If values are not zeros, check formulas to determine where errors may have occurred.</t>
  </si>
  <si>
    <t>The file format should be Microsoft Excel with the extension ".xlsx".</t>
  </si>
  <si>
    <t>FILE NAMING FOR SUBMISSION</t>
  </si>
  <si>
    <t>INSTITUTION</t>
  </si>
  <si>
    <t>ZERO-SUM CHECK</t>
  </si>
  <si>
    <t>Page 1</t>
  </si>
  <si>
    <t>Page 2</t>
  </si>
  <si>
    <t>Page 3</t>
  </si>
  <si>
    <t>Page 4</t>
  </si>
  <si>
    <t>Page 5</t>
  </si>
  <si>
    <t>Page 6</t>
  </si>
  <si>
    <t>Page 7</t>
  </si>
  <si>
    <t>Page 9</t>
  </si>
  <si>
    <t>Page 8</t>
  </si>
  <si>
    <t>Public Sector Actual Loan Rates Interest Margin Applied - Fixed Rate</t>
  </si>
  <si>
    <t xml:space="preserve">Public Sector Actual Loan Rates Approvals During Quarter - Fixed Rate </t>
  </si>
  <si>
    <t xml:space="preserve">Public Sector Actual Loan Rates Outstanding Balance as at Quarter End - Fixed Rate </t>
  </si>
  <si>
    <t xml:space="preserve">Private Financial Institutions Actual Loan Rates Approvals During Quarter - Fixed Rate </t>
  </si>
  <si>
    <t>Private Financial Institutions Actual Loan Rates Interest Margin Applied - Fixed Rate</t>
  </si>
  <si>
    <t xml:space="preserve">Private Financial Institutions Actual Loan Rates Outstanding Balance as at Quarter End - Fixed Rate </t>
  </si>
  <si>
    <t xml:space="preserve">Incorporated Businesses Actual Loan Rates Approvals During Quarter - Fixed Rate </t>
  </si>
  <si>
    <t>Incorporated Businesses Actual Loan Rates Interest Margin Applied - Fixed Rate</t>
  </si>
  <si>
    <t xml:space="preserve">Incorporated Businesses Actual Loan Rates Outstanding Balance as at Quarter End - Fixed Rate </t>
  </si>
  <si>
    <t xml:space="preserve">Unincorporated Businesses Actual Loan Rates Approvals During Quarter - Fixed Rate </t>
  </si>
  <si>
    <t>Unincorporated Businesses Actual Loan Rates Interest Margin Applied - Fixed Rate</t>
  </si>
  <si>
    <t xml:space="preserve">Unincorporated Businesses Actual Loan Rates Outstanding Balance as at Quarter End - Fixed Rate </t>
  </si>
  <si>
    <t xml:space="preserve">Consumers Actual Loan Rates Approvals During Quarter - Fixed Rate </t>
  </si>
  <si>
    <t>Consumers Actual Loan Rates Interest Margin Applied - Fixed Rate</t>
  </si>
  <si>
    <t xml:space="preserve">Consumers Actual Loan Rates Outstanding Balance as at Quarter End - Fixed Rate </t>
  </si>
  <si>
    <t xml:space="preserve">Public Sector Actual Loan Rates Approvals During Quarter - Variable Rate </t>
  </si>
  <si>
    <t>Public Sector Actual Loan Rates Interest Margin Applied - Variable Rate</t>
  </si>
  <si>
    <t xml:space="preserve">Public Sector Actual Loan Rates Outstanding Balance as at Quarter End - Variable Rate </t>
  </si>
  <si>
    <t xml:space="preserve">Private Financial Institutions Actual Loan Rates Approvals During Quarter - Variable Rate </t>
  </si>
  <si>
    <t>Private Financial Institutions Actual Loan Rates Interest Margin Applied - Variable Rate</t>
  </si>
  <si>
    <t xml:space="preserve">Private Financial Institutions Actual Loan Rates Outstanding Balance as at Quarter End - Variable Rate </t>
  </si>
  <si>
    <t xml:space="preserve">Incorporated Businesses Actual Loan Rates Approvals During Quarter - Variable Rate </t>
  </si>
  <si>
    <t>Incorporated Businesses Actual Loan Rates Interest Margin Applied - Variable Rate</t>
  </si>
  <si>
    <t xml:space="preserve">Incorporated Businesses Actual Loan Rates Outstanding Balance as at Quarter End - Variable Rate </t>
  </si>
  <si>
    <t xml:space="preserve">Unincorporated Businesses Actual Loan Rates Approvals During Quarter - Variable Rate </t>
  </si>
  <si>
    <t>Unincorporated Businesses Actual Loan Rates Interest Margin Applied - Variable Rate</t>
  </si>
  <si>
    <t xml:space="preserve">Unincorporated Businesses Actual Loan Rates Outstanding Balance as at Quarter End - Variable Rate </t>
  </si>
  <si>
    <t xml:space="preserve">Consumers Actual Loan Rates Approvals During Quarter - Variable Rate </t>
  </si>
  <si>
    <t>Consumers Actual Loan Rates Interest Margin Applied - Variable Rate</t>
  </si>
  <si>
    <t xml:space="preserve">Consumers Actual Loan Rates Outstanding Balance as at Quarter End - Variable Rate </t>
  </si>
  <si>
    <t xml:space="preserve">Public Sector Actual Loan Rates Approvals During Quarter - Adjustable Rate </t>
  </si>
  <si>
    <t>Public Sector Actual Loan Rates Interest Margin Applied - Adjustable Rate</t>
  </si>
  <si>
    <t xml:space="preserve">Public Sector Actual Loan Rates Outstanding Balance as at Quarter End - Adjustable Rate </t>
  </si>
  <si>
    <t xml:space="preserve">Private Financial Institutions Actual Loan Rates Approvals During Quarter - Adjustable Rate </t>
  </si>
  <si>
    <t>Private Financial Institutions Actual Loan Rates Interest Margin Applied - Adjustable Rate</t>
  </si>
  <si>
    <t xml:space="preserve">Private Financial Institutions Actual Loan Rates Outstanding Balance as at Quarter End - Adjustable Rate </t>
  </si>
  <si>
    <t xml:space="preserve">Incorporated Businesses Actual Loan Rates Approvals During Quarter - Adjustable Rate </t>
  </si>
  <si>
    <t>Incorporated Businesses Actual Loan Rates Interest Margin Applied - Adjustable Rate</t>
  </si>
  <si>
    <t xml:space="preserve">Incorporated Businesses Actual Loan Rates Outstanding Balance as at Quarter End - Adjustable Rate </t>
  </si>
  <si>
    <t xml:space="preserve">Unincorporated Businesses Actual Loan Rates Approvals During Quarter - Adjustable Rate </t>
  </si>
  <si>
    <t>Unincorporated Businesses Actual Loan Rates Interest Margin Applied - Adjustable Rate</t>
  </si>
  <si>
    <t xml:space="preserve">Unincorporated Businesses Actual Loan Rates Outstanding Balance as at Quarter End - Adjustable Rate </t>
  </si>
  <si>
    <t xml:space="preserve">Consumers Actual Loan Rates Approvals During Quarter - Adjustable Rate </t>
  </si>
  <si>
    <t>Consumers Actual Loan Rates Interest Margin Applied - Adjustable Rate</t>
  </si>
  <si>
    <t xml:space="preserve">Consumers Actual Loan Rates Outstanding Balance as at Quarter End - Adjustable Rate </t>
  </si>
  <si>
    <t xml:space="preserve">Public Sector Actual Loan Rates Disbursements During Quarter - Fixed Rate </t>
  </si>
  <si>
    <t xml:space="preserve">Private Financial Institutions Actual Loan Rates Disbursements During Quarter - Fixed Rate </t>
  </si>
  <si>
    <t xml:space="preserve">Incorporated Businesses Actual Loan Rates Disbursements During Quarter - Fixed Rate </t>
  </si>
  <si>
    <t xml:space="preserve">Unincorporated Businesses Actual Loan Rates Disbursements During Quarter - Fixed Rate </t>
  </si>
  <si>
    <t xml:space="preserve">Consumers Actual Loan Rates Disbursements During Quarter - Fixed Rate </t>
  </si>
  <si>
    <t xml:space="preserve">Public Sector Actual Loan Rates Disbursements During Quarter - Variable Rate </t>
  </si>
  <si>
    <t xml:space="preserve">Private Financial Institutions Actual Loan Rates Disbursements During Quarter - Variable Rate </t>
  </si>
  <si>
    <t xml:space="preserve">Incorporated Businesses Actual Loan Rates Disbursements During Quarter - Variable Rate </t>
  </si>
  <si>
    <t xml:space="preserve">Unincorporated Businesses Actual Loan Rates Disbursements During Quarter - Variable Rate </t>
  </si>
  <si>
    <t xml:space="preserve">Consumers Actual Loan Rates Disbursements During Quarter - Variable Rate </t>
  </si>
  <si>
    <t xml:space="preserve">Public Sector Actual Loan Rates Disbursements During Quarter - Adjustable Rate </t>
  </si>
  <si>
    <t xml:space="preserve">Private Financial Institutions Actual Loan Rates Disbursements During Quarter - Adjustable Rate </t>
  </si>
  <si>
    <t xml:space="preserve">Incorporated Businesses Actual Loan Rates Disbursements During Quarter - Adjustable Rate </t>
  </si>
  <si>
    <t xml:space="preserve">Unincorporated Businesses Actual Loan Rates Disbursements During Quarter - Adjustable Rate </t>
  </si>
  <si>
    <t xml:space="preserve">Consumers Actual Loan Rates Disbursements During Quarter - Adjustable Rate </t>
  </si>
  <si>
    <t xml:space="preserve">CENTRAL BANK OF TRINIDAD AND TOBAGO </t>
  </si>
  <si>
    <t xml:space="preserve">FOR </t>
  </si>
  <si>
    <t>September</t>
  </si>
  <si>
    <t>CODES</t>
  </si>
  <si>
    <t xml:space="preserve">ANSA Bank Limited </t>
  </si>
  <si>
    <t>BBDA</t>
  </si>
  <si>
    <t>March</t>
  </si>
  <si>
    <t xml:space="preserve">ANSA Merchant Bank Limited </t>
  </si>
  <si>
    <t>AMAL</t>
  </si>
  <si>
    <t>June</t>
  </si>
  <si>
    <t>CFC</t>
  </si>
  <si>
    <t>CITI</t>
  </si>
  <si>
    <t>December</t>
  </si>
  <si>
    <t>CMBL</t>
  </si>
  <si>
    <t xml:space="preserve">Development Finance Limited </t>
  </si>
  <si>
    <t>DFL</t>
  </si>
  <si>
    <t xml:space="preserve">Fidelity Finance and Leasing Company Limited </t>
  </si>
  <si>
    <t>FFL</t>
  </si>
  <si>
    <t>FCB</t>
  </si>
  <si>
    <t>FCMT</t>
  </si>
  <si>
    <t>FCTS</t>
  </si>
  <si>
    <t>FCIB</t>
  </si>
  <si>
    <t xml:space="preserve">Guardian Group Trust Limited </t>
  </si>
  <si>
    <t>GAM</t>
  </si>
  <si>
    <t>Island Finance Trinidad and Tobago Limited</t>
  </si>
  <si>
    <t>ISFL</t>
  </si>
  <si>
    <t xml:space="preserve">JMMB Bank (T&amp;T) Limited </t>
  </si>
  <si>
    <t>ICBL</t>
  </si>
  <si>
    <t>ITBM</t>
  </si>
  <si>
    <t xml:space="preserve">Massy Finance GFC Limited </t>
  </si>
  <si>
    <t>GFC</t>
  </si>
  <si>
    <t>TFL</t>
  </si>
  <si>
    <t>RBAM</t>
  </si>
  <si>
    <t>RMBF</t>
  </si>
  <si>
    <t>RBTT</t>
  </si>
  <si>
    <t>RBT</t>
  </si>
  <si>
    <t xml:space="preserve">Republic Bank Limited </t>
  </si>
  <si>
    <t>RBL</t>
  </si>
  <si>
    <t>Scotia Investments Trinidad and Tobago Limited</t>
  </si>
  <si>
    <t>SITT</t>
  </si>
  <si>
    <t xml:space="preserve">Scotiabank Trinidad and Tobago Limited </t>
  </si>
  <si>
    <t>BNS</t>
  </si>
  <si>
    <t>New Mortgages (Total Number) = Over 10 years to 15 years</t>
  </si>
  <si>
    <t>New Mortgages (Total Number) = Over 15 years to 20 years</t>
  </si>
  <si>
    <t>New Mortgages (Total Number) = Over 20 years to 25 years</t>
  </si>
  <si>
    <t>New Mortgages (Total Number) = Over 25 years to 30 years</t>
  </si>
  <si>
    <t>Public Sector Approvals During Quarter: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</si>
  <si>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Public Sector Disbursements During Quarter: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</si>
  <si>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Public Sector Approvals During Quarter: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</si>
  <si>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Public Sector Disbursements During Quarter: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</si>
  <si>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Public Sector Outstanding Balance as at Quarter End: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</si>
  <si>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Public Sector Outstanding Balance as at Quarter End: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</si>
  <si>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Outstanding Balance as at Quarter End: Total Number = Residential + Commercial</t>
  </si>
  <si>
    <t>Outstanding Balance as at Quarter End: Total Value = Residential + Commercial</t>
  </si>
  <si>
    <t>New Mortgages (Total Number) = Up to 5 years</t>
  </si>
  <si>
    <t>New Mortgages (Total Value) = Up to 5 years</t>
  </si>
  <si>
    <t>New Mortgages (Total Number) = Over 5 years to 10 years</t>
  </si>
  <si>
    <t>New Mortgages (Total Value) = Over 5 years to 10 years</t>
  </si>
  <si>
    <t>New Mortgages (Total Value) = Over 10 years to 15 years</t>
  </si>
  <si>
    <t>New Mortgages (Total Value) = Over 15 years to 20 years</t>
  </si>
  <si>
    <t>New Mortgages (Total Value) = Over 20 years to 25 years</t>
  </si>
  <si>
    <t>New Mortgages (Total Value) = Over 25 years to 30 years</t>
  </si>
  <si>
    <t>New Mortgages (Total Value) = Under 5 years + Over 5 years to 10 years + Over 10 years to 15 years + Over 15 years to 20 years + Over 20 years to 25 years + Over 25 years to 30 years + Over 30 years</t>
  </si>
  <si>
    <t>New Mortgages (Total Number) = Over 30 years</t>
  </si>
  <si>
    <t>New Mortgages (Total Value) = Over 30 years</t>
  </si>
  <si>
    <t>Private Financial Institutions Approvals During Quarter: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</si>
  <si>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Private Financial Institutions Approvals During Quarter: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</si>
  <si>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Private Financial Institutions Disbursements During Quarter: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</si>
  <si>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Private Financial Institutions Disbursements During Quarter: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</si>
  <si>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Private Financial Institutions Outstanding Balance as at Quarter End: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</si>
  <si>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Private Financial Institutions Outstanding Balance as at Quarter End: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</si>
  <si>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Incorporated Businesses Approvals During Quarter: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</si>
  <si>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Incorporated Businesses Approvals During Quarter: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</si>
  <si>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Incorporated Businesses Disbursements During Quarter: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</si>
  <si>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Incorporated Businesses Disbursements During Quarter: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</si>
  <si>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Incorporated Businesses Outstanding Balance as at Quarter End: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</si>
  <si>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Incorporated Businesses Outstanding Balance as at Quarter End: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</si>
  <si>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Unincorporated Businesses Approvals During Quarter: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</si>
  <si>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Unincorporated Businesses Approvals During Quarter: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</si>
  <si>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Unincorporated Businesses Disbursements During Quarter: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</si>
  <si>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Unincorporated Businesses Disbursements During Quarter: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</si>
  <si>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Unincorporated Businesses Outstanding Balance as at Quarter End: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</si>
  <si>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Unincorporated Businesses Outstanding Balance as at Quarter End: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</si>
  <si>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Consumers Approvals During Quarter: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</si>
  <si>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Consumers Approvals During Quarter: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</si>
  <si>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Consumers Disbursements During Quarter: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</si>
  <si>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Consumers Disbursements During Quarter: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</si>
  <si>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Consumers Outstanding Balance as at Quarter End: Total Number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</si>
  <si>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Consumers Outstanding Balance as at Quarter End: Total Value = Under $450,00 + $450,001 to $750,000 + $750,001 to $1,000,000 + $1,000,001 to $1,250,000 + $1,250,001 to $1,500,000 + $1,500,001 to $1,750,000 + $1,750,001 to $2,000,000 + $2,000,001 to $2,250,000 + $2,250,001 to $2,500,000 + $2,500,001 to $2,750,000 + $2,750,001 to $3,000,000 + Over $3,000,001</t>
  </si>
  <si>
    <t>Approvals During Quarter: Total Number = Public Sector + Private Financial Institutions + Incorporated Businesses + Unincorporated Businesses + Consumers</t>
  </si>
  <si>
    <t>Approvals During Quarter: Total Value = Public Sector + Private Financial Institutions + Incorporated Businesses + Unincorporated Businesses + Consumers</t>
  </si>
  <si>
    <t>Disbursements During Quarter: Total Number = Public Sector + Private Financial Institutions + Incorporated Businesses + Unincorporated Businesses + Consumers</t>
  </si>
  <si>
    <t>Disbursements During Quarter: Total Value = Public Sector + Private Financial Institutions + Incorporated Businesses + Unincorporated Businesses + Consumers</t>
  </si>
  <si>
    <t>Outstanding Balance as at Quarter End: Total Number = Public Sector + Private Financial Institutions + Incorporated Businesses + Unincorporated Businesses + Consumers</t>
  </si>
  <si>
    <t>Outstanding Balance as at Quarter End: Total Value = Public Sector + Private Financial Institutions + Incorporated Businesses + Unincorporated Businesses + Consumers</t>
  </si>
  <si>
    <t>Public Sector Approvals During Quarter: Total Number = Under 3% + 3.1% to 4.0% + 4.1% to 5.0% + 5.1% to 6.0% + 6.1% to 7.0% + 7.1% to 8.0% + 8.1% to 9.0% + 9.1% to 10.0% + 10.1% to 11% + 11.1% to 12.0% + 12.1% to 13.0% + 13.1% to 14% + 14.1% to 15.0% + 15.1% and Over</t>
  </si>
  <si>
    <t>Public Sector Approvals During Quarter: Total Value = Under 3% + 3.1% to 4.0% + 4.1% to 5.0% + 5.1% to 6.0% + 6.1% to 7.0% + 7.1% to 8.0% + 8.1% to 9.0% + 9.1% to 10.0% + 10.1% to 11% + 11.1% to 12.0% + 12.1% to 13.0% + 13.1% to 14% + 14.1% to 15.0% + 15.1% and Over</t>
  </si>
  <si>
    <t>Public Sector Outstanding Balance as at Quarter End: Total Number = Under 3% + 3.1% to 4.0% + 4.1% to 5.0% + 5.1% to 6.0% + 6.1% to 7.0% + 7.1% to 8.0% + 8.1% to 9.0% + 9.1% to 10.0% + 10.1% to 11% + 11.1% to 12.0% + 12.1% to 13.0% + 13.1% to 14% + 14.1% to 15.0% + 15.1% and Over</t>
  </si>
  <si>
    <t>Public Sector Outstanding Balance as at Quarter End: Total Value = Under 3% + 3.1% to 4.0% + 4.1% to 5.0% + 5.1% to 6.0% + 6.1% to 7.0% + 7.1% to 8.0% + 8.1% to 9.0% + 9.1% to 10.0% + 10.1% to 11% + 11.1% to 12.0% + 12.1% to 13.0% + 13.1% to 14% + 14.1% to 15.0% + 15.1% and Over</t>
  </si>
  <si>
    <t xml:space="preserve">Residential Disbursements During Quarter: Total Number = Under 3% + 3.1% to 4.0% + 4.1% to 5.0% + 5.1% to 6.0% + 6.1% to 7.0% + 7.1% to 8.0% + 8.1% to 9.0% + 9.1% to 10.0% + 10.1% to 11% + 11.1% to 12.0% + 12.1% to 13.0% + 13.1% to 14% + 14.1% to 15.0% + 15.1% and Over </t>
  </si>
  <si>
    <t>Residential Disbursements During Quarter: Total Value = Under 3% + 3.1% to 4.0% + 4.1% to 5.0% + 5.1% to 6.0% + 6.1% to 7.0% + 7.1% to 8.0% + 8.1% to 9.0% + 9.1% to 10.0% + 10.1% to 11% + 11.1% to 12.0% + 12.1% to 13.0% + 13.1% to 14% + 14.1% to 15.0% + 15.1% and Over</t>
  </si>
  <si>
    <t>Residential Outstanding Balance as at Quarter End: Total Number = Under 3% + 3.1% to 4.0% + 4.1% to 5.0% + 5.1% to 6.0% + 6.1% to 7.0% + 7.1% to 8.0% + 8.1% to 9.0% + 9.1% to 10.0% + 10.1% to 11% + 11.1% to 12.0% + 12.1% to 13.0% + 13.1% to 14% + 14.1% to 15.0% + 15.1% and Over</t>
  </si>
  <si>
    <t>Residential Outstanding Balance as at Quarter End: Total Value = Under 3% + 3.1% to 4.0% + 4.1% to 5.0% + 5.1% to 6.0% + 6.1% to 7.0% + 7.1% to 8.0% + 8.1% to 9.0% + 9.1% to 10.0% + 10.1% to 11% + 11.1% to 12.0% + 12.1% to 13.0% + 13.1% to 14% + 14.1% to 15.0% + 15.1% and Over</t>
  </si>
  <si>
    <t>Commercial Disbursements During Quarter: Total Number = Under 3% + 3.1% to 4.0% + 4.1% to 5.0% + 5.1% to 6.0% + 6.1% to 7.0% + 7.1% to 8.0% + 8.1% to 9.0% + 9.1% to 10.0% + 10.1% to 11% + 11.1% to 12.0% + 12.1% to 13.0% + 13.1% to 14% + 14.1% to 15.0% + 15.1% and Over</t>
  </si>
  <si>
    <t>Commercial Disbursements During Quarter: Total Value = Under 3% + 3.1% to 4.0% + 4.1% to 5.0% + 5.1% to 6.0% + 6.1% to 7.0% + 7.1% to 8.0% + 8.1% to 9.0% + 9.1% to 10.0% + 10.1% to 11% + 11.1% to 12.0% + 12.1% to 13.0% + 13.1% to 14% + 14.1% to 15.0% + 15.1% and Over</t>
  </si>
  <si>
    <t>Commercial Outstanding Balance as at Quarter End: Total Number = Under 3% + 3.1% to 4.0% + 4.1% to 5.0% + 5.1% to 6.0% + 6.1% to 7.0% + 7.1% to 8.0% + 8.1% to 9.0% + 9.1% to 10.0% + 10.1% to 11% + 11.1% to 12.0% + 12.1% to 13.0% + 13.1% to 14% + 14.1% to 15.0% + 15.1% and Over</t>
  </si>
  <si>
    <t>Commercial Outstanding Balance as at Quarter End: Total Value = Under 3% + 3.1% to 4.0% + 4.1% to 5.0% + 5.1% to 6.0% + 6.1% to 7.0% + 7.1% to 8.0% + 8.1% to 9.0% + 9.1% to 10.0% + 10.1% to 11% + 11.1% to 12.0% + 12.1% to 13.0% + 13.1% to 14% + 14.1% to 15.0% + 15.1% and Over</t>
  </si>
  <si>
    <t>Public Sector Disbursements During Quarter: Total Number = Under 3% + 3.1% to 4.0% + 4.1% to 5.0% + 5.1% to 6.0% + 6.1% to 7.0% + 7.1% to 8.0% + 8.1% to 9.0% + 9.1% to 10.0% + 10.1% to 11% + 11.1% to 12.0% + 12.1% to 13.0% + 13.1% to 14% + 14.1% to 15.0% + 15.1% and Over</t>
  </si>
  <si>
    <t>Public Sector Disbursements During Quarter: Total Value = Under 3% + 3.1% to 4.0% + 4.1% to 5.0% + 5.1% to 6.0% + 6.1% to 7.0% + 7.1% to 8.0% + 8.1% to 9.0% + 9.1% to 10.0% + 10.1% to 11% + 11.1% to 12.0% + 12.1% to 13.0% + 13.1% to 14% + 14.1% to 15.0% + 15.1% and Over</t>
  </si>
  <si>
    <t>Private Financial Institutions Approvals During Quarter: Total Number = Under 3% + 3.1% to 4.0% + 4.1% to 5.0% + 5.1% to 6.0% + 6.1% to 7.0% + 7.1% to 8.0% + 8.1% to 9.0% + 9.1% to 10.0% + 10.1% to 11% + 11.1% to 12.0% + 12.1% to 13.0% + 13.1% to 14% + 14.1% to 15.0% + 15.1% and Over</t>
  </si>
  <si>
    <t>Private Financial Institutions Approvals During Quarter: Total Value = Under 3% + 3.1% to 4.0% + 4.1% to 5.0% + 5.1% to 6.0% + 6.1% to 7.0% + 7.1% to 8.0% + 8.1% to 9.0% + 9.1% to 10.0% + 10.1% to 11% + 11.1% to 12.0% + 12.1% to 13.0% + 13.1% to 14% + 14.1% to 15.0% + 15.1% and Over</t>
  </si>
  <si>
    <t>Private Financial Institutions Outstanding Balance as at Quarter End: Total Number = Under 3% + 3.1% to 4.0% + 4.1% to 5.0% + 5.1% to 6.0% + 6.1% to 7.0% + 7.1% to 8.0% + 8.1% to 9.0% + 9.1% to 10.0% + 10.1% to 11% + 11.1% to 12.0% + 12.1% to 13.0% + 13.1% to 14% + 14.1% to 15.0% + 15.1% and Over</t>
  </si>
  <si>
    <t>Private Financial Institutions Outstanding Balance as at Quarter End: Total Value = Under 3% + 3.1% to 4.0% + 4.1% to 5.0% + 5.1% to 6.0% + 6.1% to 7.0% + 7.1% to 8.0% + 8.1% to 9.0% + 9.1% to 10.0% + 10.1% to 11% + 11.1% to 12.0% + 12.1% to 13.0% + 13.1% to 14% + 14.1% to 15.0% + 15.1% and Over</t>
  </si>
  <si>
    <t>I hereby certify that data submitted in the e-copy submission are the identical values in the hard-copy return for this period.</t>
  </si>
  <si>
    <t>Resubmissions must have the same file name structure as listed in 12 above.</t>
  </si>
  <si>
    <t>Incorporated Businesses Approvals During Quarter: Total Number = Under 3% + 3.1% to 4.0% + 4.1% to 5.0% + 5.1% to 6.0% + 6.1% to 7.0% + 7.1% to 8.0% + 8.1% to 9.0% + 9.1% to 10.0% + 10.1% to 11% + 11.1% to 12.0% + 12.1% to 13.0% + 13.1% to 14% + 14.1% to 15.0% + 15.1% and Over</t>
  </si>
  <si>
    <t>Incorporated Businesses Approvals During Quarter: Total Value = Under 3% + 3.1% to 4.0% + 4.1% to 5.0% + 5.1% to 6.0% + 6.1% to 7.0% + 7.1% to 8.0% + 8.1% to 9.0% + 9.1% to 10.0% + 10.1% to 11% + 11.1% to 12.0% + 12.1% to 13.0% + 13.1% to 14% + 14.1% to 15.0% + 15.1% and Over</t>
  </si>
  <si>
    <t>Incorporated Businesses Outstanding Balance as at Quarter End: Total Number = Under 3% + 3.1% to 4.0% + 4.1% to 5.0% + 5.1% to 6.0% + 6.1% to 7.0% + 7.1% to 8.0% + 8.1% to 9.0% + 9.1% to 10.0% + 10.1% to 11% + 11.1% to 12.0% + 12.1% to 13.0% + 13.1% to 14% + 14.1% to 15.0% + 15.1% and Over</t>
  </si>
  <si>
    <t>Incorporated Businesses Outstanding Balance as at Quarter End: Total Value = Under 3% + 3.1% to 4.0% + 4.1% to 5.0% + 5.1% to 6.0% + 6.1% to 7.0% + 7.1% to 8.0% + 8.1% to 9.0% + 9.1% to 10.0% + 10.1% to 11% + 11.1% to 12.0% + 12.1% to 13.0% + 13.1% to 14% + 14.1% to 15.0% + 15.1% and Over</t>
  </si>
  <si>
    <t>Unincorporated Businesses Approvals During Quarter: Total Number = Under 3% + 3.1% to 4.0% + 4.1% to 5.0% + 5.1% to 6.0% + 6.1% to 7.0% + 7.1% to 8.0% + 8.1% to 9.0% + 9.1% to 10.0% + 10.1% to 11% + 11.1% to 12.0% + 12.1% to 13.0% + 13.1% to 14% + 14.1% to 15.0% + 15.1% and Over</t>
  </si>
  <si>
    <t>Unincorporated Businesses Approvals During Quarter: Total Value = Under 3% + 3.1% to 4.0% + 4.1% to 5.0% + 5.1% to 6.0% + 6.1% to 7.0% + 7.1% to 8.0% + 8.1% to 9.0% + 9.1% to 10.0% + 10.1% to 11% + 11.1% to 12.0% + 12.1% to 13.0% + 13.1% to 14% + 14.1% to 15.0% + 15.1% and Over</t>
  </si>
  <si>
    <t>Unincorporated Businesses Outstanding Balance as at Quarter End: Total Number = Under 3% + 3.1% to 4.0% + 4.1% to 5.0% + 5.1% to 6.0% + 6.1% to 7.0% + 7.1% to 8.0% + 8.1% to 9.0% + 9.1% to 10.0% + 10.1% to 11% + 11.1% to 12.0% + 12.1% to 13.0% + 13.1% to 14% + 14.1% to 15.0% + 15.1% and Over</t>
  </si>
  <si>
    <t>Unincorporated Businesses Outstanding Balance as at Quarter End: Total Value = Under 3% + 3.1% to 4.0% + 4.1% to 5.0% + 5.1% to 6.0% + 6.1% to 7.0% + 7.1% to 8.0% + 8.1% to 9.0% + 9.1% to 10.0% + 10.1% to 11% + 11.1% to 12.0% + 12.1% to 13.0% + 13.1% to 14% + 14.1% to 15.0% + 15.1% and Over</t>
  </si>
  <si>
    <t>Consumers Approvals During Quarter: Total Number = Under 3% + 3.1% to 4.0% + 4.1% to 5.0% + 5.1% to 6.0% + 6.1% to 7.0% + 7.1% to 8.0% + 8.1% to 9.0% + 9.1% to 10.0% + 10.1% to 11% + 11.1% to 12.0% + 12.1% to 13.0% + 13.1% to 14% + 14.1% to 15.0% + 15.1% and Over</t>
  </si>
  <si>
    <t>Consumers Approvals During Quarter: Total Value = Under 3% + 3.1% to 4.0% + 4.1% to 5.0% + 5.1% to 6.0% + 6.1% to 7.0% + 7.1% to 8.0% + 8.1% to 9.0% + 9.1% to 10.0% + 10.1% to 11% + 11.1% to 12.0% + 12.1% to 13.0% + 13.1% to 14% + 14.1% to 15.0% + 15.1% and Over</t>
  </si>
  <si>
    <t>Consumers Outstanding Balance as at Quarter End: Total Number = Under 3% + 3.1% to 4.0% + 4.1% to 5.0% + 5.1% to 6.0% + 6.1% to 7.0% + 7.1% to 8.0% + 8.1% to 9.0% + 9.1% to 10.0% + 10.1% to 11% + 11.1% to 12.0% + 12.1% to 13.0% + 13.1% to 14% + 14.1% to 15.0% + 15.1% and Over</t>
  </si>
  <si>
    <t>Consumers Outstanding Balance as at Quarter End: Total Value = Under 3% + 3.1% to 4.0% + 4.1% to 5.0% + 5.1% to 6.0% + 6.1% to 7.0% + 7.1% to 8.0% + 8.1% to 9.0% + 9.1% to 10.0% + 10.1% to 11% + 11.1% to 12.0% + 12.1% to 13.0% + 13.1% to 14% + 14.1% to 15.0% + 15.1% and Over</t>
  </si>
  <si>
    <t>Private Financial Institutions Disbursements During Quarter: Total Number = Under 3% + 3.1% to 4.0% + 4.1% to 5.0% + 5.1% to 6.0% + 6.1% to 7.0% + 7.1% to 8.0% + 8.1% to 9.0% + 9.1% to 10.0% + 10.1% to 11% + 11.1% to 12.0% + 12.1% to 13.0% + 13.1% to 14% + 14.1% to 15.0% + 15.1% and Over</t>
  </si>
  <si>
    <t>Private Financial Institutions Disbursements During Quarter: Total Value = Under 3% + 3.1% to 4.0% + 4.1% to 5.0% + 5.1% to 6.0% + 6.1% to 7.0% + 7.1% to 8.0% + 8.1% to 9.0% + 9.1% to 10.0% + 10.1% to 11% + 11.1% to 12.0% + 12.1% to 13.0% + 13.1% to 14% + 14.1% to 15.0% + 15.1% and Over</t>
  </si>
  <si>
    <t>Incorporated Businesses Disbursements During Quarter: Total Number = Under 3% + 3.1% to 4.0% + 4.1% to 5.0% + 5.1% to 6.0% + 6.1% to 7.0% + 7.1% to 8.0% + 8.1% to 9.0% + 9.1% to 10.0% + 10.1% to 11% + 11.1% to 12.0% + 12.1% to 13.0% + 13.1% to 14% + 14.1% to 15.0% + 15.1% and Over</t>
  </si>
  <si>
    <t>Incorporated Businesses Disbursements During Quarter: Total Value = Under 3% + 3.1% to 4.0% + 4.1% to 5.0% + 5.1% to 6.0% + 6.1% to 7.0% + 7.1% to 8.0% + 8.1% to 9.0% + 9.1% to 10.0% + 10.1% to 11% + 11.1% to 12.0% + 12.1% to 13.0% + 13.1% to 14% + 14.1% to 15.0% + 15.1% and Over</t>
  </si>
  <si>
    <t>Unincorporated Businesses Disbursements During Quarter: Total Number = Under 3% + 3.1% to 4.0% + 4.1% to 5.0% + 5.1% to 6.0% + 6.1% to 7.0% + 7.1% to 8.0% + 8.1% to 9.0% + 9.1% to 10.0% + 10.1% to 11% + 11.1% to 12.0% + 12.1% to 13.0% + 13.1% to 14% + 14.1% to 15.0% + 15.1% and Over</t>
  </si>
  <si>
    <t>Unincorporated Businesses Disbursements During Quarter: Total Value = Under 3% + 3.1% to 4.0% + 4.1% to 5.0% + 5.1% to 6.0% + 6.1% to 7.0% + 7.1% to 8.0% + 8.1% to 9.0% + 9.1% to 10.0% + 10.1% to 11% + 11.1% to 12.0% + 12.1% to 13.0% + 13.1% to 14% + 14.1% to 15.0% + 15.1% and Over</t>
  </si>
  <si>
    <t>Consumers Disbursements During Quarter: Total Number = Under 3% + 3.1% to 4.0% + 4.1% to 5.0% + 5.1% to 6.0% + 6.1% to 7.0% + 7.1% to 8.0% + 8.1% to 9.0% + 9.1% to 10.0% + 10.1% to 11% + 11.1% to 12.0% + 12.1% to 13.0% + 13.1% to 14% + 14.1% to 15.0% + 15.1% and Over</t>
  </si>
  <si>
    <t>Consumers Disbursements During Quarter: Total Value = Under 3% + 3.1% to 4.0% + 4.1% to 5.0% + 5.1% to 6.0% + 6.1% to 7.0% + 7.1% to 8.0% + 8.1% to 9.0% + 9.1% to 10.0% + 10.1% to 11% + 11.1% to 12.0% + 12.1% to 13.0% + 13.1% to 14% + 14.1% to 15.0% + 15.1% and Over</t>
  </si>
  <si>
    <t>Private Financial Institutions Outstanding Balance as at Quarter End During Quarter: Total Number = Under 3% + 3.1% to 4.0% + 4.1% to 5.0% + 5.1% to 6.0% + 6.1% to 7.0% + 7.1% to 8.0% + 8.1% to 9.0% + 9.1% to 10.0% + 10.1% to 11% + 11.1% to 12.0% + 12.1% to 13.0% + 13.1% to 14% + 14.1% to 15.0% + 15.1% and Over</t>
  </si>
  <si>
    <t>Private Financial Institutions Outstanding Balance as at Quarter End During Quarter: Total Value = Under 3% + 3.1% to 4.0% + 4.1% to 5.0% + 5.1% to 6.0% + 6.1% to 7.0% + 7.1% to 8.0% + 8.1% to 9.0% + 9.1% to 10.0% + 10.1% to 11% + 11.1% to 12.0% + 12.1% to 13.0% + 13.1% to 14% + 14.1% to 15.0% + 15.1% and Over</t>
  </si>
  <si>
    <t>Incorporated Businesses Outstanding Balance as at Quarter End During Quarter: Total Number = Under 3% + 3.1% to 4.0% + 4.1% to 5.0% + 5.1% to 6.0% + 6.1% to 7.0% + 7.1% to 8.0% + 8.1% to 9.0% + 9.1% to 10.0% + 10.1% to 11% + 11.1% to 12.0% + 12.1% to 13.0% + 13.1% to 14% + 14.1% to 15.0% + 15.1% and Over</t>
  </si>
  <si>
    <t>Incorporated Businesses Outstanding Balance as at Quarter End During Quarter: Total Value = Under 3% + 3.1% to 4.0% + 4.1% to 5.0% + 5.1% to 6.0% + 6.1% to 7.0% + 7.1% to 8.0% + 8.1% to 9.0% + 9.1% to 10.0% + 10.1% to 11% + 11.1% to 12.0% + 12.1% to 13.0% + 13.1% to 14% + 14.1% to 15.0% + 15.1% and Over</t>
  </si>
  <si>
    <t>Disbursements During Quarter: Total Number = Residential + Commercial</t>
  </si>
  <si>
    <t>Disbursements During Quarter: Total Value = Residential + Commercial</t>
  </si>
  <si>
    <t>Approvals During Quarter: Total Number = Renovation + Acquisition of Newly Constructed Houses + Purchase of Existing Houses + Purchase of Land</t>
  </si>
  <si>
    <t>Approvals During Quarter: Total Value = Renovation + Acquisition of Newly Constructed Houses + Purchase of Existing Houses + Purchase of Land</t>
  </si>
  <si>
    <t>Disbursements During Quarter: Total Number = Renovation + Acquisition of Newly Constructed Houses + Purchase of Existing Houses + Purchase of Land</t>
  </si>
  <si>
    <t>Disbursements During Quarter: Total Value = Renovation + Acquisition of Newly Constructed Houses + Purchase of Existing Houses + Purchase of Land</t>
  </si>
  <si>
    <t>Outstanding Balance as at Quarter End: Total Number = Renovation + Acquisition of Newly Constructed Houses + Purchase of Existing Houses + Purchase of Land</t>
  </si>
  <si>
    <t>Outstanding Balance as at Quarter End: Total Value = Renovation + Acquisition of Newly Constructed Houses + Purchase of Existing Houses + Purchase of Land</t>
  </si>
  <si>
    <t>Trustee Funds: Total Real Estate Mortgage Loans = Residential + Non-Residential</t>
  </si>
  <si>
    <t>TOTAL FAILED VALIDATIONS</t>
  </si>
  <si>
    <t>Do not use symbols in cells (&lt;, &gt;, commas, full stops, apostrophe, tilde etc.) with the exception of full stops to express decimal places in the interest rates.</t>
  </si>
  <si>
    <t>DATE</t>
  </si>
  <si>
    <t>DATE CHECK</t>
  </si>
  <si>
    <t>CONVERTING TO .XLSX AND SAVING FOR SUBMISSION</t>
  </si>
  <si>
    <t xml:space="preserve">Select the "Convert to (.xlsx) and Save" button on the "CBTT VALIDATION" tab to save the final version for submission.  </t>
  </si>
  <si>
    <t>Follow the prompts to break all external links and save the return as .xlsx.</t>
  </si>
  <si>
    <t>Please ensure there are no validation errors on the "CBTT VALIDATION" tab after links are broken.</t>
  </si>
  <si>
    <t>Once the steps above are completed the submission can be uploaded into GoAnywhere.</t>
  </si>
  <si>
    <t>Ensure when links are broken the files are checked for text references which have to be deleted/amended (#Ref, FALSE! etc.) prior to submission. Refer to section “CONVERTING TO .XLSX AND SAVING FOR SUBMISSION”  for further details.</t>
  </si>
  <si>
    <t>V1.2</t>
  </si>
  <si>
    <t>CIBC Caribbean Bank Limited (Trinidad and Tobago)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</si>
</sst>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m"/>
    <numFmt numFmtId="166" formatCode="#,##0;[Red]&quot;no minus&quot;;\-0\-"/>
    <numFmt numFmtId="167" formatCode="yyyy"/>
    <numFmt numFmtId="168" formatCode="[$-409]mmm\-yy;@"/>
    <numFmt numFmtId="169" formatCode="m/d/yyyy;@"/>
    <numFmt numFmtId="170" formatCode="[$-409]d\-mmm\-yyyy;@"/>
    <numFmt numFmtId="171" formatCode="0.00000"/>
  </numFmts>
  <fonts count="47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rgb="FF990033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990033"/>
      <name val="Calibri"/>
      <family val="2"/>
      <scheme val="minor"/>
    </font>
    <font>
      <b/>
      <sz val="10"/>
      <color indexed="10"/>
      <name val="TimesNewRomanPS"/>
    </font>
    <font>
      <sz val="10"/>
      <name val="Helv"/>
    </font>
    <font>
      <b/>
      <sz val="10"/>
      <color indexed="12"/>
      <name val="TimesNewRomanPS"/>
    </font>
    <font>
      <sz val="10"/>
      <name val="TimesNewRomanPS"/>
    </font>
    <font>
      <b/>
      <i/>
      <sz val="10"/>
      <color indexed="16"/>
      <name val="TimesNewRomanPS"/>
    </font>
    <font>
      <b/>
      <sz val="12"/>
      <color indexed="10"/>
      <name val="TimesNewRomanPS"/>
    </font>
    <font>
      <b/>
      <sz val="16"/>
      <color theme="1"/>
      <name val="Calibri"/>
      <family val="2"/>
      <scheme val="minor"/>
    </font>
    <font>
      <b/>
      <u/>
      <sz val="14"/>
      <color theme="5" tint="-0.249977111117893"/>
      <name val="Calibri"/>
      <family val="2"/>
      <scheme val="minor"/>
    </font>
    <font>
      <b/>
      <sz val="14"/>
      <color theme="0"/>
      <name val="Times New Roman"/>
      <family val="1"/>
    </font>
    <font>
      <b/>
      <sz val="14"/>
      <color theme="0"/>
      <name val="Calibri"/>
      <family val="2"/>
      <scheme val="minor"/>
    </font>
    <font>
      <b/>
      <sz val="11"/>
      <color theme="0"/>
      <name val="Times New Roman"/>
      <family val="1"/>
    </font>
    <font>
      <b/>
      <sz val="18"/>
      <color theme="1"/>
      <name val="Times New Roman"/>
      <family val="1"/>
    </font>
    <font>
      <b/>
      <sz val="15"/>
      <color theme="1"/>
      <name val="Times New Roman"/>
      <family val="1"/>
    </font>
    <font>
      <b/>
      <sz val="11"/>
      <color theme="1"/>
      <name val="Times New Roman"/>
      <family val="1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5"/>
      <name val="Times New Roman"/>
      <family val="1"/>
    </font>
    <font>
      <b/>
      <sz val="15"/>
      <name val="Times New Roman"/>
      <family val="1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6"/>
      <name val="Calibri"/>
      <family val="2"/>
      <scheme val="minor"/>
    </font>
    <font>
      <b/>
      <sz val="11"/>
      <color rgb="FF990033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5" fillId="0" borderId="0"/>
    <xf numFmtId="0" fontId="6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20" fillId="0" borderId="0" applyNumberFormat="0" applyFill="0" applyBorder="0" applyAlignment="0" applyProtection="0"/>
    <xf numFmtId="0" fontId="24" fillId="0" borderId="0">
      <alignment vertical="top" wrapText="1"/>
    </xf>
    <xf numFmtId="164" fontId="9" fillId="0" borderId="0" applyFont="0" applyFill="0" applyBorder="0" applyAlignment="0" applyProtection="0"/>
    <xf numFmtId="8" fontId="25" fillId="0" borderId="0" applyFont="0" applyFill="0" applyBorder="0" applyAlignment="0" applyProtection="0"/>
    <xf numFmtId="0" fontId="26" fillId="0" borderId="7" applyProtection="0">
      <alignment vertical="top" wrapText="1"/>
    </xf>
    <xf numFmtId="0" fontId="1" fillId="0" borderId="0"/>
    <xf numFmtId="166" fontId="27" fillId="0" borderId="8" applyFont="0" applyBorder="0">
      <alignment horizontal="right"/>
      <protection locked="0"/>
    </xf>
    <xf numFmtId="0" fontId="28" fillId="0" borderId="7" applyBorder="0" applyAlignment="0" applyProtection="0">
      <alignment horizontal="center"/>
    </xf>
    <xf numFmtId="0" fontId="27" fillId="0" borderId="8">
      <alignment horizontal="right"/>
      <protection locked="0"/>
    </xf>
    <xf numFmtId="0" fontId="29" fillId="0" borderId="0"/>
  </cellStyleXfs>
  <cellXfs count="202">
    <xf numFmtId="0" fontId="0" fillId="0" borderId="0" xfId="0"/>
    <xf numFmtId="0" fontId="10" fillId="0" borderId="0" xfId="2" applyFont="1"/>
    <xf numFmtId="0" fontId="10" fillId="0" borderId="0" xfId="2" applyFont="1" applyBorder="1"/>
    <xf numFmtId="0" fontId="10" fillId="0" borderId="0" xfId="2" applyFont="1" applyAlignment="1" applyProtection="1"/>
    <xf numFmtId="0" fontId="10" fillId="0" borderId="0" xfId="2" applyFont="1" applyAlignment="1" applyProtection="1">
      <alignment horizontal="centerContinuous"/>
    </xf>
    <xf numFmtId="0" fontId="10" fillId="0" borderId="0" xfId="2" applyFont="1" applyAlignment="1" applyProtection="1">
      <alignment horizontal="center"/>
    </xf>
    <xf numFmtId="0" fontId="10" fillId="0" borderId="0" xfId="2" applyFont="1" applyAlignment="1" applyProtection="1">
      <alignment horizontal="left"/>
    </xf>
    <xf numFmtId="0" fontId="10" fillId="0" borderId="0" xfId="2" applyFont="1" applyProtection="1"/>
    <xf numFmtId="0" fontId="11" fillId="0" borderId="0" xfId="2" applyFont="1" applyAlignment="1" applyProtection="1">
      <alignment horizontal="centerContinuous"/>
    </xf>
    <xf numFmtId="0" fontId="7" fillId="0" borderId="0" xfId="2" applyFont="1" applyProtection="1"/>
    <xf numFmtId="0" fontId="12" fillId="0" borderId="0" xfId="2" applyFont="1" applyAlignment="1" applyProtection="1">
      <alignment horizontal="right"/>
    </xf>
    <xf numFmtId="0" fontId="10" fillId="0" borderId="0" xfId="2" applyFont="1" applyBorder="1" applyProtection="1"/>
    <xf numFmtId="0" fontId="12" fillId="0" borderId="0" xfId="2" applyFont="1" applyAlignment="1" applyProtection="1">
      <alignment horizontal="center"/>
    </xf>
    <xf numFmtId="0" fontId="10" fillId="0" borderId="0" xfId="2" applyFont="1" applyBorder="1" applyAlignment="1" applyProtection="1">
      <alignment horizontal="center"/>
    </xf>
    <xf numFmtId="0" fontId="15" fillId="0" borderId="4" xfId="2" applyFont="1" applyBorder="1" applyAlignment="1" applyProtection="1">
      <alignment horizontal="center"/>
    </xf>
    <xf numFmtId="0" fontId="15" fillId="0" borderId="0" xfId="2" applyFont="1" applyBorder="1" applyProtection="1"/>
    <xf numFmtId="0" fontId="7" fillId="0" borderId="6" xfId="2" applyFont="1" applyBorder="1" applyAlignment="1" applyProtection="1">
      <alignment horizontal="center"/>
      <protection locked="0"/>
    </xf>
    <xf numFmtId="0" fontId="7" fillId="0" borderId="0" xfId="2" applyFont="1" applyAlignment="1" applyProtection="1">
      <alignment horizontal="center"/>
    </xf>
    <xf numFmtId="0" fontId="15" fillId="0" borderId="0" xfId="2" applyFont="1" applyBorder="1" applyAlignment="1" applyProtection="1">
      <alignment horizontal="center"/>
    </xf>
    <xf numFmtId="0" fontId="7" fillId="0" borderId="0" xfId="2" applyFont="1" applyBorder="1" applyProtection="1"/>
    <xf numFmtId="0" fontId="15" fillId="0" borderId="6" xfId="2" applyFont="1" applyBorder="1" applyAlignment="1" applyProtection="1">
      <alignment horizontal="center"/>
    </xf>
    <xf numFmtId="0" fontId="7" fillId="0" borderId="0" xfId="2" applyFont="1" applyAlignment="1" applyProtection="1">
      <alignment horizontal="centerContinuous"/>
    </xf>
    <xf numFmtId="0" fontId="17" fillId="0" borderId="0" xfId="2" applyFont="1" applyAlignment="1" applyProtection="1">
      <alignment horizontal="centerContinuous"/>
    </xf>
    <xf numFmtId="0" fontId="8" fillId="0" borderId="0" xfId="2" applyFont="1" applyAlignment="1" applyProtection="1">
      <alignment horizontal="centerContinuous"/>
    </xf>
    <xf numFmtId="0" fontId="8" fillId="0" borderId="0" xfId="2" applyFont="1" applyAlignment="1" applyProtection="1">
      <alignment horizontal="center"/>
    </xf>
    <xf numFmtId="0" fontId="15" fillId="0" borderId="0" xfId="2" applyFont="1" applyAlignment="1" applyProtection="1">
      <alignment horizontal="right"/>
    </xf>
    <xf numFmtId="0" fontId="7" fillId="0" borderId="0" xfId="2" applyFont="1" applyFill="1" applyBorder="1" applyAlignment="1" applyProtection="1">
      <alignment horizontal="center"/>
    </xf>
    <xf numFmtId="0" fontId="7" fillId="0" borderId="0" xfId="2" applyFont="1" applyFill="1" applyProtection="1"/>
    <xf numFmtId="0" fontId="15" fillId="0" borderId="0" xfId="2" applyFont="1" applyFill="1" applyAlignment="1" applyProtection="1">
      <alignment horizontal="center"/>
    </xf>
    <xf numFmtId="0" fontId="7" fillId="0" borderId="0" xfId="2" applyFont="1" applyFill="1" applyBorder="1" applyProtection="1"/>
    <xf numFmtId="0" fontId="7" fillId="0" borderId="0" xfId="2" applyFont="1" applyFill="1" applyAlignment="1" applyProtection="1">
      <alignment horizontal="center"/>
    </xf>
    <xf numFmtId="0" fontId="15" fillId="0" borderId="0" xfId="2" quotePrefix="1" applyFont="1" applyAlignment="1" applyProtection="1">
      <alignment horizontal="right"/>
    </xf>
    <xf numFmtId="0" fontId="15" fillId="0" borderId="0" xfId="2" applyFont="1" applyAlignment="1" applyProtection="1">
      <alignment horizontal="center"/>
    </xf>
    <xf numFmtId="0" fontId="15" fillId="0" borderId="0" xfId="2" applyFont="1" applyAlignment="1" applyProtection="1">
      <alignment horizontal="centerContinuous"/>
    </xf>
    <xf numFmtId="0" fontId="15" fillId="0" borderId="0" xfId="2" applyFont="1" applyProtection="1"/>
    <xf numFmtId="0" fontId="7" fillId="0" borderId="0" xfId="2" applyFont="1" applyAlignment="1" applyProtection="1">
      <alignment horizontal="left"/>
    </xf>
    <xf numFmtId="0" fontId="7" fillId="0" borderId="0" xfId="2" quotePrefix="1" applyFont="1" applyAlignment="1" applyProtection="1">
      <alignment horizontal="center"/>
    </xf>
    <xf numFmtId="0" fontId="7" fillId="0" borderId="0" xfId="2" quotePrefix="1" applyFont="1" applyAlignment="1" applyProtection="1">
      <alignment horizontal="left"/>
    </xf>
    <xf numFmtId="0" fontId="14" fillId="0" borderId="0" xfId="2" applyFont="1" applyProtection="1"/>
    <xf numFmtId="0" fontId="15" fillId="0" borderId="0" xfId="2" applyFont="1" applyBorder="1" applyAlignment="1" applyProtection="1">
      <alignment horizontal="left"/>
    </xf>
    <xf numFmtId="0" fontId="7" fillId="0" borderId="0" xfId="2" applyFont="1" applyBorder="1" applyAlignment="1" applyProtection="1">
      <alignment horizontal="left"/>
    </xf>
    <xf numFmtId="0" fontId="7" fillId="0" borderId="0" xfId="2" applyFont="1" applyBorder="1" applyAlignment="1" applyProtection="1">
      <alignment horizontal="center"/>
    </xf>
    <xf numFmtId="0" fontId="7" fillId="0" borderId="0" xfId="0" applyFont="1" applyBorder="1" applyProtection="1"/>
    <xf numFmtId="0" fontId="7" fillId="0" borderId="0" xfId="0" applyFont="1" applyProtection="1"/>
    <xf numFmtId="0" fontId="7" fillId="0" borderId="0" xfId="0" applyFont="1" applyAlignment="1" applyProtection="1">
      <alignment horizontal="center"/>
    </xf>
    <xf numFmtId="0" fontId="15" fillId="0" borderId="0" xfId="0" applyFo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centerContinuous"/>
    </xf>
    <xf numFmtId="0" fontId="7" fillId="0" borderId="0" xfId="0" applyFont="1" applyAlignment="1" applyProtection="1">
      <alignment horizontal="left"/>
    </xf>
    <xf numFmtId="0" fontId="7" fillId="0" borderId="0" xfId="0" applyFont="1" applyFill="1" applyAlignment="1" applyProtection="1">
      <alignment horizontal="center"/>
    </xf>
    <xf numFmtId="0" fontId="15" fillId="0" borderId="0" xfId="0" applyFont="1" applyAlignment="1" applyProtection="1">
      <alignment horizontal="right"/>
    </xf>
    <xf numFmtId="0" fontId="7" fillId="0" borderId="0" xfId="0" applyFont="1" applyBorder="1" applyAlignment="1" applyProtection="1">
      <alignment horizontal="left"/>
    </xf>
    <xf numFmtId="0" fontId="15" fillId="0" borderId="0" xfId="0" applyFont="1" applyAlignment="1" applyProtection="1">
      <alignment horizontal="centerContinuous"/>
    </xf>
    <xf numFmtId="0" fontId="15" fillId="0" borderId="0" xfId="0" applyFont="1" applyAlignment="1" applyProtection="1">
      <alignment horizontal="center"/>
    </xf>
    <xf numFmtId="0" fontId="7" fillId="0" borderId="0" xfId="0" quotePrefix="1" applyFont="1" applyAlignment="1" applyProtection="1">
      <alignment horizontal="center"/>
    </xf>
    <xf numFmtId="0" fontId="7" fillId="0" borderId="0" xfId="0" quotePrefix="1" applyFont="1" applyAlignment="1" applyProtection="1">
      <alignment horizontal="left"/>
    </xf>
    <xf numFmtId="0" fontId="7" fillId="0" borderId="0" xfId="0" applyFont="1" applyBorder="1" applyAlignment="1" applyProtection="1">
      <alignment horizontal="center"/>
    </xf>
    <xf numFmtId="0" fontId="14" fillId="0" borderId="0" xfId="0" applyFont="1" applyProtection="1"/>
    <xf numFmtId="0" fontId="7" fillId="0" borderId="6" xfId="0" applyFont="1" applyBorder="1" applyAlignment="1" applyProtection="1">
      <alignment horizontal="center"/>
      <protection locked="0"/>
    </xf>
    <xf numFmtId="6" fontId="7" fillId="0" borderId="0" xfId="0" applyNumberFormat="1" applyFont="1" applyProtection="1"/>
    <xf numFmtId="0" fontId="8" fillId="0" borderId="0" xfId="0" applyFont="1" applyAlignment="1" applyProtection="1">
      <alignment horizontal="centerContinuous"/>
    </xf>
    <xf numFmtId="0" fontId="7" fillId="0" borderId="6" xfId="0" applyFont="1" applyBorder="1" applyAlignment="1" applyProtection="1">
      <alignment horizontal="center"/>
    </xf>
    <xf numFmtId="0" fontId="7" fillId="0" borderId="0" xfId="0" applyFont="1" applyFill="1" applyAlignment="1" applyProtection="1"/>
    <xf numFmtId="0" fontId="7" fillId="0" borderId="0" xfId="2" applyFont="1" applyAlignment="1" applyProtection="1"/>
    <xf numFmtId="0" fontId="13" fillId="0" borderId="0" xfId="2" applyFont="1" applyAlignment="1" applyProtection="1">
      <alignment horizontal="centerContinuous"/>
    </xf>
    <xf numFmtId="0" fontId="7" fillId="0" borderId="0" xfId="2" quotePrefix="1" applyFont="1" applyAlignment="1" applyProtection="1">
      <alignment horizontal="centerContinuous"/>
    </xf>
    <xf numFmtId="0" fontId="14" fillId="0" borderId="0" xfId="0" applyFont="1" applyFill="1" applyProtection="1"/>
    <xf numFmtId="0" fontId="7" fillId="0" borderId="0" xfId="2" applyFont="1" applyAlignment="1" applyProtection="1">
      <alignment horizontal="fill"/>
    </xf>
    <xf numFmtId="2" fontId="7" fillId="0" borderId="6" xfId="0" applyNumberFormat="1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</xf>
    <xf numFmtId="0" fontId="7" fillId="0" borderId="6" xfId="2" applyFont="1" applyBorder="1" applyAlignment="1" applyProtection="1">
      <alignment horizontal="center"/>
    </xf>
    <xf numFmtId="0" fontId="7" fillId="0" borderId="2" xfId="2" applyFont="1" applyBorder="1" applyProtection="1"/>
    <xf numFmtId="0" fontId="7" fillId="0" borderId="0" xfId="2" applyFont="1" applyAlignment="1" applyProtection="1">
      <alignment horizontal="right"/>
    </xf>
    <xf numFmtId="0" fontId="13" fillId="0" borderId="0" xfId="2" applyFont="1" applyAlignment="1" applyProtection="1">
      <alignment horizontal="center"/>
    </xf>
    <xf numFmtId="5" fontId="15" fillId="0" borderId="0" xfId="2" quotePrefix="1" applyNumberFormat="1" applyFont="1" applyAlignment="1" applyProtection="1">
      <alignment horizontal="center"/>
    </xf>
    <xf numFmtId="10" fontId="7" fillId="0" borderId="0" xfId="2" applyNumberFormat="1" applyFont="1" applyAlignment="1" applyProtection="1">
      <alignment horizontal="right"/>
    </xf>
    <xf numFmtId="2" fontId="7" fillId="0" borderId="0" xfId="0" applyNumberFormat="1" applyFont="1" applyBorder="1" applyProtection="1"/>
    <xf numFmtId="2" fontId="7" fillId="0" borderId="0" xfId="0" applyNumberFormat="1" applyFont="1" applyProtection="1"/>
    <xf numFmtId="2" fontId="7" fillId="0" borderId="0" xfId="0" applyNumberFormat="1" applyFont="1" applyAlignment="1" applyProtection="1"/>
    <xf numFmtId="2" fontId="7" fillId="0" borderId="0" xfId="0" applyNumberFormat="1" applyFont="1" applyBorder="1" applyAlignment="1" applyProtection="1">
      <alignment horizontal="center"/>
    </xf>
    <xf numFmtId="2" fontId="7" fillId="0" borderId="0" xfId="0" applyNumberFormat="1" applyFont="1" applyAlignment="1" applyProtection="1">
      <alignment horizontal="center"/>
    </xf>
    <xf numFmtId="2" fontId="7" fillId="0" borderId="0" xfId="0" applyNumberFormat="1" applyFont="1" applyBorder="1" applyAlignment="1" applyProtection="1">
      <alignment horizontal="left"/>
    </xf>
    <xf numFmtId="2" fontId="7" fillId="0" borderId="0" xfId="0" applyNumberFormat="1" applyFont="1" applyAlignment="1" applyProtection="1">
      <alignment horizontal="left"/>
    </xf>
    <xf numFmtId="0" fontId="15" fillId="0" borderId="0" xfId="2" quotePrefix="1" applyFont="1" applyProtection="1"/>
    <xf numFmtId="0" fontId="8" fillId="0" borderId="0" xfId="2" applyFont="1" applyProtection="1"/>
    <xf numFmtId="0" fontId="16" fillId="0" borderId="0" xfId="2" applyFont="1" applyBorder="1" applyAlignment="1" applyProtection="1">
      <alignment horizontal="centerContinuous"/>
    </xf>
    <xf numFmtId="0" fontId="16" fillId="0" borderId="0" xfId="2" applyFont="1" applyAlignment="1" applyProtection="1">
      <alignment horizontal="centerContinuous"/>
    </xf>
    <xf numFmtId="0" fontId="16" fillId="0" borderId="0" xfId="0" applyFont="1" applyAlignment="1" applyProtection="1">
      <alignment horizontal="centerContinuous"/>
    </xf>
    <xf numFmtId="0" fontId="17" fillId="0" borderId="0" xfId="0" applyFont="1" applyAlignment="1" applyProtection="1">
      <alignment horizontal="centerContinuous"/>
    </xf>
    <xf numFmtId="0" fontId="8" fillId="0" borderId="0" xfId="0" applyFont="1" applyProtection="1"/>
    <xf numFmtId="0" fontId="13" fillId="2" borderId="0" xfId="2" applyFont="1" applyFill="1" applyBorder="1" applyAlignment="1" applyProtection="1">
      <alignment horizontal="center"/>
    </xf>
    <xf numFmtId="0" fontId="7" fillId="2" borderId="0" xfId="2" applyFont="1" applyFill="1" applyBorder="1" applyProtection="1"/>
    <xf numFmtId="0" fontId="15" fillId="2" borderId="6" xfId="2" applyFont="1" applyFill="1" applyBorder="1" applyAlignment="1" applyProtection="1">
      <alignment horizontal="center"/>
    </xf>
    <xf numFmtId="0" fontId="7" fillId="2" borderId="6" xfId="2" applyFont="1" applyFill="1" applyBorder="1" applyProtection="1"/>
    <xf numFmtId="5" fontId="15" fillId="2" borderId="6" xfId="2" quotePrefix="1" applyNumberFormat="1" applyFont="1" applyFill="1" applyBorder="1" applyAlignment="1" applyProtection="1">
      <alignment horizontal="center"/>
    </xf>
    <xf numFmtId="0" fontId="7" fillId="2" borderId="0" xfId="0" applyFont="1" applyFill="1" applyProtection="1"/>
    <xf numFmtId="0" fontId="15" fillId="2" borderId="0" xfId="0" applyFont="1" applyFill="1" applyBorder="1" applyAlignment="1" applyProtection="1">
      <alignment horizontal="centerContinuous"/>
    </xf>
    <xf numFmtId="0" fontId="7" fillId="2" borderId="0" xfId="0" applyFont="1" applyFill="1" applyBorder="1" applyAlignment="1" applyProtection="1">
      <alignment horizontal="centerContinuous"/>
    </xf>
    <xf numFmtId="0" fontId="15" fillId="2" borderId="0" xfId="0" applyFont="1" applyFill="1" applyProtection="1"/>
    <xf numFmtId="0" fontId="15" fillId="2" borderId="6" xfId="0" applyFont="1" applyFill="1" applyBorder="1" applyAlignment="1" applyProtection="1">
      <alignment horizontal="centerContinuous"/>
    </xf>
    <xf numFmtId="0" fontId="7" fillId="2" borderId="6" xfId="0" applyFont="1" applyFill="1" applyBorder="1" applyAlignment="1" applyProtection="1">
      <alignment horizontal="centerContinuous"/>
    </xf>
    <xf numFmtId="0" fontId="7" fillId="0" borderId="0" xfId="3" applyFont="1" applyBorder="1"/>
    <xf numFmtId="0" fontId="7" fillId="0" borderId="0" xfId="3" applyFont="1"/>
    <xf numFmtId="0" fontId="7" fillId="0" borderId="6" xfId="3" applyFont="1" applyBorder="1" applyProtection="1">
      <protection locked="0"/>
    </xf>
    <xf numFmtId="0" fontId="7" fillId="0" borderId="0" xfId="3" applyFont="1" applyBorder="1" applyProtection="1">
      <protection locked="0"/>
    </xf>
    <xf numFmtId="0" fontId="15" fillId="0" borderId="0" xfId="3" applyFont="1" applyBorder="1" applyAlignment="1">
      <alignment horizontal="center"/>
    </xf>
    <xf numFmtId="0" fontId="7" fillId="0" borderId="0" xfId="3" applyFont="1" applyFill="1"/>
    <xf numFmtId="0" fontId="7" fillId="0" borderId="0" xfId="3" applyFont="1" applyBorder="1" applyAlignment="1">
      <alignment horizontal="centerContinuous"/>
    </xf>
    <xf numFmtId="0" fontId="7" fillId="0" borderId="0" xfId="4" applyFont="1" applyBorder="1"/>
    <xf numFmtId="0" fontId="15" fillId="0" borderId="0" xfId="5" quotePrefix="1" applyFont="1" applyFill="1" applyBorder="1" applyAlignment="1">
      <alignment horizontal="center"/>
    </xf>
    <xf numFmtId="0" fontId="15" fillId="0" borderId="1" xfId="5" applyFont="1" applyFill="1" applyBorder="1" applyAlignment="1">
      <alignment horizontal="center" wrapText="1"/>
    </xf>
    <xf numFmtId="0" fontId="7" fillId="0" borderId="0" xfId="2" applyFont="1" applyAlignment="1">
      <alignment horizontal="right"/>
    </xf>
    <xf numFmtId="0" fontId="15" fillId="0" borderId="0" xfId="3" applyFont="1" applyFill="1" applyBorder="1" applyAlignment="1">
      <alignment horizontal="center"/>
    </xf>
    <xf numFmtId="0" fontId="7" fillId="0" borderId="0" xfId="3" applyFont="1" applyBorder="1" applyAlignment="1"/>
    <xf numFmtId="0" fontId="15" fillId="0" borderId="1" xfId="3" applyFont="1" applyBorder="1" applyAlignment="1">
      <alignment horizontal="center"/>
    </xf>
    <xf numFmtId="0" fontId="15" fillId="0" borderId="0" xfId="3" quotePrefix="1" applyFont="1" applyBorder="1" applyAlignment="1">
      <alignment horizontal="center"/>
    </xf>
    <xf numFmtId="0" fontId="15" fillId="0" borderId="0" xfId="3" applyFont="1" applyBorder="1" applyAlignment="1"/>
    <xf numFmtId="0" fontId="15" fillId="0" borderId="0" xfId="3" applyFont="1" applyBorder="1" applyAlignment="1">
      <alignment horizontal="centerContinuous"/>
    </xf>
    <xf numFmtId="0" fontId="19" fillId="5" borderId="0" xfId="2" applyFont="1" applyFill="1" applyBorder="1" applyAlignment="1"/>
    <xf numFmtId="0" fontId="19" fillId="6" borderId="0" xfId="2" applyFont="1" applyFill="1" applyBorder="1" applyAlignment="1"/>
    <xf numFmtId="0" fontId="41" fillId="0" borderId="0" xfId="0" applyFont="1" applyProtection="1"/>
    <xf numFmtId="0" fontId="40" fillId="0" borderId="0" xfId="0" applyFont="1" applyProtection="1"/>
    <xf numFmtId="0" fontId="40" fillId="0" borderId="0" xfId="0" applyNumberFormat="1" applyFont="1" applyProtection="1"/>
    <xf numFmtId="168" fontId="40" fillId="0" borderId="0" xfId="0" applyNumberFormat="1" applyFont="1" applyProtection="1"/>
    <xf numFmtId="2" fontId="7" fillId="0" borderId="6" xfId="0" applyNumberFormat="1" applyFont="1" applyBorder="1" applyAlignment="1" applyProtection="1">
      <alignment horizontal="center"/>
      <protection locked="0"/>
    </xf>
    <xf numFmtId="0" fontId="31" fillId="0" borderId="12" xfId="12" applyFont="1" applyBorder="1" applyAlignment="1" applyProtection="1">
      <alignment horizontal="center" wrapText="1"/>
    </xf>
    <xf numFmtId="0" fontId="15" fillId="0" borderId="0" xfId="5" applyFont="1" applyFill="1" applyAlignment="1" applyProtection="1">
      <alignment wrapText="1"/>
    </xf>
    <xf numFmtId="0" fontId="36" fillId="6" borderId="0" xfId="2" applyFont="1" applyFill="1" applyBorder="1" applyAlignment="1">
      <alignment horizontal="center"/>
    </xf>
    <xf numFmtId="14" fontId="10" fillId="0" borderId="0" xfId="2" applyNumberFormat="1" applyFont="1"/>
    <xf numFmtId="0" fontId="36" fillId="6" borderId="0" xfId="2" applyFont="1" applyFill="1" applyBorder="1" applyAlignment="1">
      <alignment horizontal="center" vertical="center"/>
    </xf>
    <xf numFmtId="0" fontId="19" fillId="0" borderId="0" xfId="12" applyFont="1" applyAlignment="1" applyProtection="1">
      <alignment horizontal="center"/>
    </xf>
    <xf numFmtId="0" fontId="19" fillId="0" borderId="0" xfId="12" applyFont="1" applyProtection="1"/>
    <xf numFmtId="0" fontId="19" fillId="0" borderId="0" xfId="12" applyFont="1" applyAlignment="1" applyProtection="1">
      <alignment wrapText="1"/>
    </xf>
    <xf numFmtId="0" fontId="19" fillId="0" borderId="0" xfId="12" applyFont="1" applyFill="1" applyAlignment="1" applyProtection="1">
      <alignment wrapText="1"/>
    </xf>
    <xf numFmtId="0" fontId="1" fillId="0" borderId="0" xfId="12" applyFont="1" applyProtection="1"/>
    <xf numFmtId="0" fontId="7" fillId="0" borderId="0" xfId="0" applyFont="1" applyAlignment="1" applyProtection="1">
      <alignment wrapText="1"/>
    </xf>
    <xf numFmtId="0" fontId="15" fillId="0" borderId="0" xfId="0" applyFont="1" applyAlignment="1" applyProtection="1">
      <alignment horizontal="center" vertical="center"/>
    </xf>
    <xf numFmtId="0" fontId="7" fillId="0" borderId="10" xfId="0" applyFont="1" applyBorder="1" applyAlignment="1" applyProtection="1">
      <alignment wrapText="1"/>
    </xf>
    <xf numFmtId="0" fontId="15" fillId="8" borderId="3" xfId="0" applyNumberFormat="1" applyFont="1" applyFill="1" applyBorder="1" applyAlignment="1" applyProtection="1">
      <alignment horizontal="center" vertical="center"/>
    </xf>
    <xf numFmtId="0" fontId="15" fillId="8" borderId="3" xfId="0" applyFont="1" applyFill="1" applyBorder="1" applyAlignment="1" applyProtection="1">
      <alignment horizontal="center" vertical="center"/>
    </xf>
    <xf numFmtId="0" fontId="15" fillId="0" borderId="12" xfId="0" applyFont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wrapText="1"/>
    </xf>
    <xf numFmtId="0" fontId="7" fillId="0" borderId="12" xfId="0" applyFont="1" applyBorder="1" applyAlignment="1" applyProtection="1">
      <alignment wrapText="1"/>
    </xf>
    <xf numFmtId="0" fontId="7" fillId="0" borderId="0" xfId="0" applyFont="1" applyFill="1" applyProtection="1"/>
    <xf numFmtId="0" fontId="7" fillId="0" borderId="11" xfId="0" applyFont="1" applyBorder="1" applyAlignment="1" applyProtection="1">
      <alignment wrapText="1"/>
    </xf>
    <xf numFmtId="0" fontId="15" fillId="8" borderId="5" xfId="0" applyFont="1" applyFill="1" applyBorder="1" applyAlignment="1" applyProtection="1">
      <alignment horizontal="center" vertical="center"/>
    </xf>
    <xf numFmtId="0" fontId="7" fillId="0" borderId="0" xfId="2" applyFont="1" applyFill="1" applyAlignment="1" applyProtection="1"/>
    <xf numFmtId="0" fontId="7" fillId="0" borderId="0" xfId="2" applyNumberFormat="1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0" fontId="42" fillId="0" borderId="0" xfId="2" applyFont="1" applyFill="1" applyBorder="1" applyAlignment="1" applyProtection="1">
      <alignment vertical="top"/>
    </xf>
    <xf numFmtId="0" fontId="7" fillId="0" borderId="0" xfId="0" applyFont="1" applyFill="1" applyBorder="1" applyProtection="1"/>
    <xf numFmtId="0" fontId="42" fillId="0" borderId="0" xfId="2" applyFont="1" applyFill="1" applyAlignment="1" applyProtection="1"/>
    <xf numFmtId="0" fontId="42" fillId="0" borderId="0" xfId="2" applyFont="1" applyFill="1" applyAlignment="1" applyProtection="1">
      <alignment vertical="top"/>
    </xf>
    <xf numFmtId="1" fontId="7" fillId="0" borderId="0" xfId="0" applyNumberFormat="1" applyFont="1" applyProtection="1"/>
    <xf numFmtId="0" fontId="42" fillId="7" borderId="0" xfId="2" applyFont="1" applyFill="1" applyAlignment="1" applyProtection="1"/>
    <xf numFmtId="1" fontId="7" fillId="0" borderId="6" xfId="0" applyNumberFormat="1" applyFont="1" applyBorder="1" applyAlignment="1" applyProtection="1">
      <alignment horizontal="center"/>
    </xf>
    <xf numFmtId="1" fontId="7" fillId="0" borderId="0" xfId="0" applyNumberFormat="1" applyFont="1" applyBorder="1" applyAlignment="1" applyProtection="1">
      <alignment horizontal="center"/>
    </xf>
    <xf numFmtId="17" fontId="40" fillId="0" borderId="0" xfId="0" applyNumberFormat="1" applyFont="1" applyProtection="1"/>
    <xf numFmtId="167" fontId="40" fillId="0" borderId="0" xfId="0" applyNumberFormat="1" applyFont="1" applyProtection="1"/>
    <xf numFmtId="170" fontId="40" fillId="0" borderId="0" xfId="0" applyNumberFormat="1" applyFont="1" applyProtection="1"/>
    <xf numFmtId="165" fontId="7" fillId="0" borderId="6" xfId="2" applyNumberFormat="1" applyFont="1" applyFill="1" applyBorder="1" applyAlignment="1" applyProtection="1">
      <alignment horizontal="center"/>
    </xf>
    <xf numFmtId="0" fontId="7" fillId="0" borderId="6" xfId="2" applyNumberFormat="1" applyFont="1" applyFill="1" applyBorder="1" applyAlignment="1" applyProtection="1">
      <alignment horizontal="center"/>
    </xf>
    <xf numFmtId="0" fontId="7" fillId="0" borderId="6" xfId="5" applyFont="1" applyBorder="1" applyProtection="1">
      <protection locked="0"/>
    </xf>
    <xf numFmtId="0" fontId="7" fillId="0" borderId="0" xfId="4" applyFont="1" applyBorder="1" applyProtection="1">
      <protection locked="0"/>
    </xf>
    <xf numFmtId="0" fontId="18" fillId="3" borderId="0" xfId="12" applyFont="1" applyFill="1" applyAlignment="1" applyProtection="1">
      <alignment horizontal="center" wrapText="1"/>
    </xf>
    <xf numFmtId="0" fontId="21" fillId="0" borderId="0" xfId="13" applyFont="1" applyAlignment="1" applyProtection="1">
      <alignment wrapText="1"/>
      <protection locked="0"/>
    </xf>
    <xf numFmtId="0" fontId="22" fillId="0" borderId="0" xfId="13" applyFont="1" applyAlignment="1" applyProtection="1">
      <alignment wrapText="1"/>
    </xf>
    <xf numFmtId="0" fontId="23" fillId="0" borderId="0" xfId="13" applyFont="1" applyAlignment="1" applyProtection="1">
      <alignment wrapText="1"/>
    </xf>
    <xf numFmtId="171" fontId="15" fillId="8" borderId="3" xfId="0" applyNumberFormat="1" applyFont="1" applyFill="1" applyBorder="1" applyAlignment="1" applyProtection="1">
      <alignment horizontal="center" vertical="center"/>
    </xf>
    <xf numFmtId="171" fontId="15" fillId="8" borderId="5" xfId="0" applyNumberFormat="1" applyFont="1" applyFill="1" applyBorder="1" applyAlignment="1" applyProtection="1">
      <alignment horizontal="center" vertical="center"/>
    </xf>
    <xf numFmtId="171" fontId="15" fillId="8" borderId="12" xfId="0" applyNumberFormat="1" applyFont="1" applyFill="1" applyBorder="1" applyAlignment="1" applyProtection="1">
      <alignment horizontal="center" vertical="center"/>
    </xf>
    <xf numFmtId="1" fontId="15" fillId="8" borderId="15" xfId="0" applyNumberFormat="1" applyFont="1" applyFill="1" applyBorder="1" applyAlignment="1" applyProtection="1">
      <alignment horizontal="center" vertical="center"/>
    </xf>
    <xf numFmtId="0" fontId="30" fillId="6" borderId="11" xfId="12" applyFont="1" applyFill="1" applyBorder="1" applyAlignment="1" applyProtection="1">
      <alignment horizontal="center" vertical="center" wrapText="1"/>
    </xf>
    <xf numFmtId="0" fontId="30" fillId="4" borderId="9" xfId="12" applyFont="1" applyFill="1" applyBorder="1" applyAlignment="1" applyProtection="1">
      <alignment horizontal="center" vertical="center" wrapText="1"/>
    </xf>
    <xf numFmtId="0" fontId="44" fillId="5" borderId="15" xfId="0" applyFont="1" applyFill="1" applyBorder="1" applyAlignment="1" applyProtection="1">
      <alignment horizontal="center" vertical="center"/>
    </xf>
    <xf numFmtId="0" fontId="19" fillId="0" borderId="0" xfId="7" applyFont="1" applyAlignment="1" applyProtection="1">
      <alignment horizontal="center"/>
    </xf>
    <xf numFmtId="0" fontId="45" fillId="0" borderId="0" xfId="0" applyFont="1"/>
    <xf numFmtId="0" fontId="46" fillId="0" borderId="0" xfId="0" applyFont="1" applyAlignment="1">
      <alignment wrapText="1"/>
    </xf>
    <xf numFmtId="0" fontId="46" fillId="0" borderId="0" xfId="0" applyFont="1"/>
    <xf numFmtId="0" fontId="32" fillId="4" borderId="0" xfId="2" applyFont="1" applyFill="1" applyBorder="1" applyAlignment="1" applyProtection="1">
      <alignment horizontal="center"/>
    </xf>
    <xf numFmtId="0" fontId="33" fillId="4" borderId="0" xfId="2" applyFont="1" applyFill="1" applyBorder="1" applyAlignment="1" applyProtection="1">
      <alignment horizontal="right"/>
    </xf>
    <xf numFmtId="0" fontId="33" fillId="4" borderId="0" xfId="2" applyFont="1" applyFill="1" applyBorder="1" applyAlignment="1" applyProtection="1">
      <alignment horizontal="center"/>
    </xf>
    <xf numFmtId="0" fontId="34" fillId="4" borderId="0" xfId="2" applyFont="1" applyFill="1" applyBorder="1" applyAlignment="1" applyProtection="1">
      <alignment horizontal="center"/>
    </xf>
    <xf numFmtId="0" fontId="36" fillId="6" borderId="0" xfId="2" applyFont="1" applyFill="1" applyBorder="1" applyAlignment="1">
      <alignment horizontal="center"/>
    </xf>
    <xf numFmtId="169" fontId="38" fillId="5" borderId="0" xfId="2" applyNumberFormat="1" applyFont="1" applyFill="1" applyBorder="1" applyAlignment="1" applyProtection="1">
      <alignment horizontal="center"/>
      <protection locked="0"/>
    </xf>
    <xf numFmtId="0" fontId="39" fillId="6" borderId="0" xfId="2" applyFont="1" applyFill="1" applyBorder="1" applyAlignment="1">
      <alignment horizontal="center"/>
    </xf>
    <xf numFmtId="0" fontId="35" fillId="5" borderId="0" xfId="2" applyFont="1" applyFill="1" applyBorder="1" applyAlignment="1" applyProtection="1">
      <alignment horizontal="center"/>
      <protection locked="0"/>
    </xf>
    <xf numFmtId="0" fontId="37" fillId="6" borderId="0" xfId="2" applyFont="1" applyFill="1" applyBorder="1" applyAlignment="1">
      <alignment horizontal="center"/>
    </xf>
    <xf numFmtId="170" fontId="36" fillId="6" borderId="13" xfId="2" applyNumberFormat="1" applyFont="1" applyFill="1" applyBorder="1" applyAlignment="1" applyProtection="1">
      <alignment horizontal="center" vertical="center"/>
      <protection locked="0"/>
    </xf>
    <xf numFmtId="170" fontId="36" fillId="6" borderId="14" xfId="2" applyNumberFormat="1" applyFont="1" applyFill="1" applyBorder="1" applyAlignment="1" applyProtection="1">
      <alignment horizontal="center" vertical="center"/>
      <protection locked="0"/>
    </xf>
    <xf numFmtId="0" fontId="30" fillId="4" borderId="10" xfId="12" applyFont="1" applyFill="1" applyBorder="1" applyAlignment="1" applyProtection="1">
      <alignment horizontal="center" vertical="center"/>
    </xf>
    <xf numFmtId="0" fontId="30" fillId="4" borderId="11" xfId="12" applyFont="1" applyFill="1" applyBorder="1" applyAlignment="1" applyProtection="1">
      <alignment horizontal="center" vertical="center"/>
    </xf>
    <xf numFmtId="0" fontId="43" fillId="4" borderId="10" xfId="0" applyFont="1" applyFill="1" applyBorder="1" applyAlignment="1" applyProtection="1">
      <alignment horizontal="center" vertical="center" wrapText="1"/>
    </xf>
    <xf numFmtId="0" fontId="43" fillId="4" borderId="11" xfId="0" applyFont="1" applyFill="1" applyBorder="1" applyAlignment="1" applyProtection="1">
      <alignment horizontal="center" vertical="center" wrapText="1"/>
    </xf>
    <xf numFmtId="1" fontId="15" fillId="0" borderId="0" xfId="2" applyNumberFormat="1" applyFont="1" applyFill="1" applyBorder="1" applyAlignment="1" applyProtection="1">
      <alignment horizontal="left"/>
    </xf>
    <xf numFmtId="0" fontId="16" fillId="0" borderId="0" xfId="2" applyFont="1" applyFill="1" applyAlignment="1" applyProtection="1">
      <alignment horizontal="center"/>
    </xf>
    <xf numFmtId="0" fontId="16" fillId="0" borderId="0" xfId="2" applyFont="1" applyAlignment="1" applyProtection="1">
      <alignment horizontal="center"/>
    </xf>
    <xf numFmtId="2" fontId="7" fillId="0" borderId="6" xfId="0" applyNumberFormat="1" applyFont="1" applyBorder="1" applyAlignment="1" applyProtection="1">
      <alignment horizontal="center"/>
      <protection locked="0"/>
    </xf>
    <xf numFmtId="2" fontId="7" fillId="0" borderId="6" xfId="0" applyNumberFormat="1" applyFont="1" applyFill="1" applyBorder="1" applyAlignment="1" applyProtection="1">
      <alignment horizontal="center"/>
      <protection locked="0"/>
    </xf>
    <xf numFmtId="0" fontId="16" fillId="0" borderId="0" xfId="2" applyFont="1" applyBorder="1" applyAlignment="1" applyProtection="1">
      <alignment horizontal="center"/>
    </xf>
    <xf numFmtId="0" fontId="8" fillId="0" borderId="0" xfId="2" applyFont="1" applyAlignment="1" applyProtection="1">
      <alignment horizontal="center"/>
    </xf>
  </cellXfs>
  <cellStyles count="23">
    <cellStyle name="BANK" xfId="14" xr:uid="{00000000-0005-0000-0000-000000000000}"/>
    <cellStyle name="Comma 2" xfId="1" xr:uid="{00000000-0005-0000-0000-000001000000}"/>
    <cellStyle name="Comma 3" xfId="9" xr:uid="{00000000-0005-0000-0000-000002000000}"/>
    <cellStyle name="Comma 4" xfId="15" xr:uid="{00000000-0005-0000-0000-000003000000}"/>
    <cellStyle name="Currency 2" xfId="16" xr:uid="{00000000-0005-0000-0000-000004000000}"/>
    <cellStyle name="Hyperlink" xfId="13" builtinId="8"/>
    <cellStyle name="INFO HEADER" xfId="17" xr:uid="{00000000-0005-0000-0000-000006000000}"/>
    <cellStyle name="Normal" xfId="0" builtinId="0"/>
    <cellStyle name="Normal 2" xfId="2" xr:uid="{00000000-0005-0000-0000-000008000000}"/>
    <cellStyle name="Normal 2 2" xfId="18" xr:uid="{00000000-0005-0000-0000-000009000000}"/>
    <cellStyle name="Normal 3" xfId="3" xr:uid="{00000000-0005-0000-0000-00000A000000}"/>
    <cellStyle name="Normal 4" xfId="4" xr:uid="{00000000-0005-0000-0000-00000B000000}"/>
    <cellStyle name="Normal 5" xfId="5" xr:uid="{00000000-0005-0000-0000-00000C000000}"/>
    <cellStyle name="Normal 5 2" xfId="10" xr:uid="{00000000-0005-0000-0000-00000D000000}"/>
    <cellStyle name="Normal 6" xfId="6" xr:uid="{00000000-0005-0000-0000-00000E000000}"/>
    <cellStyle name="Normal 6 2" xfId="11" xr:uid="{00000000-0005-0000-0000-00000F000000}"/>
    <cellStyle name="Normal 7" xfId="8" xr:uid="{00000000-0005-0000-0000-000010000000}"/>
    <cellStyle name="Normal 8" xfId="7" xr:uid="{00000000-0005-0000-0000-000011000000}"/>
    <cellStyle name="Normal 9" xfId="12" xr:uid="{00000000-0005-0000-0000-000012000000}"/>
    <cellStyle name="number" xfId="19" xr:uid="{00000000-0005-0000-0000-000013000000}"/>
    <cellStyle name="SUBHEAD" xfId="20" xr:uid="{00000000-0005-0000-0000-000014000000}"/>
    <cellStyle name="test" xfId="21" xr:uid="{00000000-0005-0000-0000-000015000000}"/>
    <cellStyle name="TOTAL HEADER" xfId="22" xr:uid="{00000000-0005-0000-0000-000016000000}"/>
  </cellStyles>
  <dxfs count="16"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4</xdr:row>
          <xdr:rowOff>104775</xdr:rowOff>
        </xdr:from>
        <xdr:to>
          <xdr:col>2</xdr:col>
          <xdr:colOff>1847850</xdr:colOff>
          <xdr:row>6</xdr:row>
          <xdr:rowOff>400050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miller/Desktop/Bank_CB20_V1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serv2\data\Documents%20and%20Settings\aguy\Local%20Settings\Temporary%20Internet%20Files\Content.Outlook\IMI99ADP\BB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serv2\data\Data%20Submissions\Dec%202012\Completed%20Excel\Demerara%20Life%20Dec%202012%20v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Institution_Codes"/>
      <sheetName val="General Instructions"/>
      <sheetName val="CBTT VALIDATION"/>
      <sheetName val="CB20ASCL"/>
      <sheetName val="CB20ASCL_VALI"/>
      <sheetName val="PG_01_02"/>
      <sheetName val="PG_03"/>
      <sheetName val="PG_04_05"/>
      <sheetName val="PG_06_09"/>
      <sheetName val="PG_10"/>
      <sheetName val="PG_11"/>
      <sheetName val="PG_12_16"/>
      <sheetName val="PG_17"/>
      <sheetName val="PG_18"/>
      <sheetName val="PG_19"/>
      <sheetName val="PG_20"/>
      <sheetName val="PG_21"/>
      <sheetName val="PG_22"/>
      <sheetName val="PG_23"/>
      <sheetName val="PG_24"/>
      <sheetName val="PG_25"/>
      <sheetName val="PG_26"/>
      <sheetName val="PG_27"/>
      <sheetName val="PG_28"/>
      <sheetName val="PG_29"/>
      <sheetName val="PG_30"/>
      <sheetName val="PG_31"/>
      <sheetName val="PG_32"/>
    </sheetNames>
    <sheetDataSet>
      <sheetData sheetId="0" refreshError="1"/>
      <sheetData sheetId="1">
        <row r="2">
          <cell r="D2" t="str">
            <v>January</v>
          </cell>
          <cell r="H2">
            <v>2000</v>
          </cell>
        </row>
        <row r="3">
          <cell r="D3" t="str">
            <v>February</v>
          </cell>
          <cell r="H3">
            <v>2001</v>
          </cell>
        </row>
        <row r="4">
          <cell r="D4" t="str">
            <v>March</v>
          </cell>
          <cell r="H4">
            <v>2002</v>
          </cell>
        </row>
        <row r="5">
          <cell r="D5" t="str">
            <v>April</v>
          </cell>
          <cell r="H5">
            <v>2003</v>
          </cell>
        </row>
        <row r="6">
          <cell r="D6" t="str">
            <v>May</v>
          </cell>
          <cell r="H6">
            <v>2004</v>
          </cell>
        </row>
        <row r="7">
          <cell r="D7" t="str">
            <v>June</v>
          </cell>
          <cell r="H7">
            <v>2005</v>
          </cell>
        </row>
        <row r="8">
          <cell r="D8" t="str">
            <v>July</v>
          </cell>
          <cell r="H8">
            <v>2006</v>
          </cell>
        </row>
        <row r="9">
          <cell r="D9" t="str">
            <v>August</v>
          </cell>
          <cell r="H9">
            <v>2007</v>
          </cell>
        </row>
        <row r="10">
          <cell r="D10" t="str">
            <v>September</v>
          </cell>
          <cell r="H10">
            <v>2008</v>
          </cell>
        </row>
        <row r="11">
          <cell r="D11" t="str">
            <v>October</v>
          </cell>
          <cell r="H11">
            <v>2009</v>
          </cell>
        </row>
        <row r="12">
          <cell r="D12" t="str">
            <v>November</v>
          </cell>
          <cell r="H12">
            <v>2010</v>
          </cell>
        </row>
        <row r="13">
          <cell r="D13" t="str">
            <v>December</v>
          </cell>
          <cell r="H13">
            <v>2011</v>
          </cell>
        </row>
        <row r="14">
          <cell r="H14">
            <v>2012</v>
          </cell>
        </row>
        <row r="15">
          <cell r="H15">
            <v>2013</v>
          </cell>
        </row>
        <row r="16">
          <cell r="H16">
            <v>2014</v>
          </cell>
        </row>
        <row r="17">
          <cell r="H17">
            <v>2015</v>
          </cell>
        </row>
        <row r="18">
          <cell r="H18">
            <v>2016</v>
          </cell>
        </row>
        <row r="19">
          <cell r="H19">
            <v>2017</v>
          </cell>
        </row>
        <row r="20">
          <cell r="H20">
            <v>2018</v>
          </cell>
        </row>
        <row r="21">
          <cell r="H21">
            <v>2019</v>
          </cell>
        </row>
        <row r="22">
          <cell r="H22">
            <v>2020</v>
          </cell>
        </row>
        <row r="23">
          <cell r="H23">
            <v>2021</v>
          </cell>
        </row>
        <row r="24">
          <cell r="H24">
            <v>2022</v>
          </cell>
        </row>
        <row r="25">
          <cell r="H25">
            <v>2023</v>
          </cell>
        </row>
        <row r="26">
          <cell r="H26">
            <v>2024</v>
          </cell>
        </row>
        <row r="27">
          <cell r="H27">
            <v>2025</v>
          </cell>
        </row>
        <row r="28">
          <cell r="H28">
            <v>2026</v>
          </cell>
        </row>
        <row r="29">
          <cell r="H29">
            <v>2027</v>
          </cell>
        </row>
        <row r="30">
          <cell r="H30">
            <v>2028</v>
          </cell>
        </row>
        <row r="31">
          <cell r="H31">
            <v>2029</v>
          </cell>
        </row>
        <row r="32">
          <cell r="H32">
            <v>2030</v>
          </cell>
        </row>
        <row r="33">
          <cell r="H33">
            <v>2031</v>
          </cell>
        </row>
        <row r="34">
          <cell r="H34">
            <v>2032</v>
          </cell>
        </row>
        <row r="35">
          <cell r="H35">
            <v>2033</v>
          </cell>
        </row>
        <row r="36">
          <cell r="H36">
            <v>2034</v>
          </cell>
        </row>
        <row r="37">
          <cell r="H37">
            <v>2035</v>
          </cell>
        </row>
        <row r="38">
          <cell r="H38">
            <v>2036</v>
          </cell>
        </row>
        <row r="39">
          <cell r="H39">
            <v>2037</v>
          </cell>
        </row>
        <row r="40">
          <cell r="H40">
            <v>2038</v>
          </cell>
        </row>
        <row r="41">
          <cell r="H41">
            <v>2039</v>
          </cell>
        </row>
        <row r="42">
          <cell r="H42">
            <v>2040</v>
          </cell>
        </row>
        <row r="43">
          <cell r="H43">
            <v>2041</v>
          </cell>
        </row>
        <row r="44">
          <cell r="H44">
            <v>2042</v>
          </cell>
        </row>
        <row r="45">
          <cell r="H45">
            <v>2043</v>
          </cell>
        </row>
        <row r="46">
          <cell r="H46">
            <v>2044</v>
          </cell>
        </row>
        <row r="47">
          <cell r="H47">
            <v>2045</v>
          </cell>
        </row>
        <row r="48">
          <cell r="H48">
            <v>2046</v>
          </cell>
        </row>
        <row r="49">
          <cell r="H49">
            <v>2047</v>
          </cell>
        </row>
        <row r="50">
          <cell r="H50">
            <v>2048</v>
          </cell>
        </row>
        <row r="51">
          <cell r="H51">
            <v>2049</v>
          </cell>
        </row>
        <row r="52">
          <cell r="H52">
            <v>2050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G1"/>
      <sheetName val="PG2"/>
      <sheetName val="PG3"/>
      <sheetName val="Mat-Str"/>
      <sheetName val="LAR_FORM_NEW"/>
      <sheetName val="Cb10ascl"/>
      <sheetName val="CB10ASCLL_NEW"/>
      <sheetName val="Codes"/>
    </sheetNames>
    <sheetDataSet>
      <sheetData sheetId="0">
        <row r="6">
          <cell r="A6" t="str">
            <v xml:space="preserve">  Select Institution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 t="str">
            <v xml:space="preserve">  Select Institution</v>
          </cell>
        </row>
        <row r="2">
          <cell r="C2" t="str">
            <v>Ansa Merchant Bank Limited</v>
          </cell>
        </row>
        <row r="3">
          <cell r="C3" t="str">
            <v>Bank of Baroda</v>
          </cell>
        </row>
        <row r="4">
          <cell r="C4" t="str">
            <v>Bank of Nova Scotia</v>
          </cell>
        </row>
        <row r="5">
          <cell r="C5" t="str">
            <v>Citi-Bank</v>
          </cell>
        </row>
        <row r="6">
          <cell r="C6" t="str">
            <v>Citicorp Merchant Bank</v>
          </cell>
        </row>
        <row r="7">
          <cell r="C7" t="str">
            <v>First Caribbean International Bank</v>
          </cell>
        </row>
        <row r="8">
          <cell r="C8" t="str">
            <v>First Citizen's Bank</v>
          </cell>
        </row>
        <row r="9">
          <cell r="C9" t="str">
            <v>Inter Commercial Bank Limited</v>
          </cell>
        </row>
        <row r="10">
          <cell r="C10" t="str">
            <v>RBC Merchant Bank Limited</v>
          </cell>
        </row>
        <row r="11">
          <cell r="C11" t="str">
            <v>RBC Royal Bank Limited</v>
          </cell>
        </row>
        <row r="12">
          <cell r="C12" t="str">
            <v>Republic Bank Limited</v>
          </cell>
        </row>
        <row r="13">
          <cell r="C13" t="str">
            <v>Republic Finance and Merchant Bank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B40"/>
      <sheetName val="CB20"/>
      <sheetName val="1A"/>
      <sheetName val="1B"/>
      <sheetName val="CB201"/>
      <sheetName val="CB202"/>
      <sheetName val="Stat Fund-LT"/>
      <sheetName val="Stat Deposit"/>
      <sheetName val="Stat Fund-MV"/>
      <sheetName val="Notes"/>
      <sheetName val="INSASCII"/>
      <sheetName val="Cod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 xml:space="preserve"> SELECT INSURANCE COMPANY</v>
          </cell>
        </row>
        <row r="2">
          <cell r="C2" t="str">
            <v>American Life and General Insurance Company Limited (General Division)</v>
          </cell>
        </row>
        <row r="3">
          <cell r="C3" t="str">
            <v>American Life and General Insurance Company Limited (Life Division)</v>
          </cell>
        </row>
        <row r="4">
          <cell r="C4" t="str">
            <v>Bancassurance Caribbean Limited</v>
          </cell>
        </row>
        <row r="5">
          <cell r="C5" t="str">
            <v>Bankers Insurance Company of Trinidad and Tobago Limited</v>
          </cell>
        </row>
        <row r="6">
          <cell r="C6" t="str">
            <v>British American Insurance Company (Trinidad) Limited</v>
          </cell>
        </row>
        <row r="7">
          <cell r="C7" t="str">
            <v>Capital Insurance Limited</v>
          </cell>
        </row>
        <row r="8">
          <cell r="C8" t="str">
            <v>Caribbean Atlantic Life Insurance Company Limited</v>
          </cell>
        </row>
        <row r="9">
          <cell r="C9" t="str">
            <v>Caribbean Insurance Company Limited</v>
          </cell>
        </row>
        <row r="10">
          <cell r="C10" t="str">
            <v>Citizen Insurance Company Limited</v>
          </cell>
        </row>
        <row r="11">
          <cell r="C11" t="str">
            <v>Colonial Fire and General Insurance Company Limited</v>
          </cell>
        </row>
        <row r="12">
          <cell r="C12" t="str">
            <v>Colonial Life Insurance Company (Trinidad) Limited</v>
          </cell>
        </row>
        <row r="13">
          <cell r="C13" t="str">
            <v>Cuna Caribbean Insurance Society Limited</v>
          </cell>
        </row>
        <row r="14">
          <cell r="C14" t="str">
            <v>Cuna Mutual Insurance Society</v>
          </cell>
        </row>
        <row r="15">
          <cell r="C15" t="str">
            <v>Demerara Life Assurance Company of Trinidad &amp; Tobago Limited</v>
          </cell>
        </row>
        <row r="16">
          <cell r="C16" t="str">
            <v>Export Import Bank of Trinidad &amp; Tobago (Eximbank) Limited</v>
          </cell>
        </row>
        <row r="17">
          <cell r="C17" t="str">
            <v>Furness Anchorage General Insurance Limited</v>
          </cell>
        </row>
        <row r="18">
          <cell r="C18" t="str">
            <v>Goodwill General Insurance Company Limited</v>
          </cell>
        </row>
        <row r="19">
          <cell r="C19" t="str">
            <v>GTM Insurance Company Limited</v>
          </cell>
        </row>
        <row r="20">
          <cell r="C20" t="str">
            <v>Guardian General Insurance Limited</v>
          </cell>
        </row>
        <row r="21">
          <cell r="C21" t="str">
            <v>Guardian Life of the Caribbean Limited</v>
          </cell>
        </row>
        <row r="22">
          <cell r="C22" t="str">
            <v>Gulf Insurance Limited</v>
          </cell>
        </row>
        <row r="23">
          <cell r="C23" t="str">
            <v>Maritime General Insurance Company Limited</v>
          </cell>
        </row>
        <row r="24">
          <cell r="C24" t="str">
            <v>Maritime Life (Caribbean) Limited</v>
          </cell>
        </row>
        <row r="25">
          <cell r="C25" t="str">
            <v>Mega Insurance Company Limited</v>
          </cell>
        </row>
        <row r="26">
          <cell r="C26" t="str">
            <v>Motor and General Insurance Limited</v>
          </cell>
        </row>
        <row r="27">
          <cell r="C27" t="str">
            <v>Motor One Insurance Company Limited</v>
          </cell>
        </row>
        <row r="28">
          <cell r="C28" t="str">
            <v>Nationwide Insurance Company Limited</v>
          </cell>
        </row>
        <row r="29">
          <cell r="C29" t="str">
            <v>Royal Caribbean Insurance Limited</v>
          </cell>
        </row>
        <row r="30">
          <cell r="C30" t="str">
            <v>Sagicor General Insurance Inc.</v>
          </cell>
        </row>
        <row r="31">
          <cell r="C31" t="str">
            <v>Sagicor Life Inc</v>
          </cell>
        </row>
        <row r="32">
          <cell r="C32" t="str">
            <v>Scotialife Trinidad and Tobago Limited</v>
          </cell>
        </row>
        <row r="33">
          <cell r="C33" t="str">
            <v>Sun Life Assurance Company of Canada</v>
          </cell>
        </row>
        <row r="34">
          <cell r="C34" t="str">
            <v>Tatil Life Assurance Limited</v>
          </cell>
        </row>
        <row r="35">
          <cell r="C35" t="str">
            <v>The Beacon Insurance Company Limited</v>
          </cell>
        </row>
        <row r="36">
          <cell r="C36" t="str">
            <v>The Great Northern Insurance Company Limited</v>
          </cell>
        </row>
        <row r="37">
          <cell r="C37" t="str">
            <v>The Mountain General Insurance Company Limited</v>
          </cell>
        </row>
        <row r="38">
          <cell r="C38" t="str">
            <v>The New India Assurance Company Limited</v>
          </cell>
        </row>
        <row r="39">
          <cell r="C39" t="str">
            <v>The Presidential Insurance Company Limited</v>
          </cell>
        </row>
        <row r="40">
          <cell r="C40" t="str">
            <v>The Reinsurance Company of Trinidad and Tobago Limited</v>
          </cell>
        </row>
        <row r="41">
          <cell r="C41" t="str">
            <v>The Western General Insurance Company Limited</v>
          </cell>
        </row>
        <row r="42">
          <cell r="C42" t="str">
            <v>Trinidad and Tobago Insurance Limited</v>
          </cell>
        </row>
        <row r="43">
          <cell r="C43" t="str">
            <v>United Insurance Company Limited</v>
          </cell>
        </row>
        <row r="44">
          <cell r="C44" t="str">
            <v>United Security Life Insurance Company Limited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3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4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4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51.bin"/><Relationship Id="rId1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5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.bin"/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Relationship Id="rId4" Type="http://schemas.openxmlformats.org/officeDocument/2006/relationships/printerSettings" Target="../printerSettings/printerSettings5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central-bank.org.tt/sites/default/files/page-file-uploads/CB30A%20Instructions%207.02.2014_0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printerSettings" Target="../printerSettings/printerSettings8.bin"/><Relationship Id="rId7" Type="http://schemas.openxmlformats.org/officeDocument/2006/relationships/control" Target="../activeX/activeX1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-0.249977111117893"/>
  </sheetPr>
  <dimension ref="A1:X15"/>
  <sheetViews>
    <sheetView showGridLines="0" showRowColHeaders="0" tabSelected="1" topLeftCell="B1" zoomScale="140" zoomScaleNormal="140" workbookViewId="0">
      <selection activeCell="C7" sqref="C7:J7"/>
    </sheetView>
  </sheetViews>
  <sheetFormatPr defaultColWidth="0" defaultRowHeight="11.25" zeroHeight="1"/>
  <cols>
    <col min="1" max="1" width="9.7109375" style="1" customWidth="1"/>
    <col min="2" max="2" width="11" style="1" customWidth="1"/>
    <col min="3" max="8" width="15.85546875" style="1" customWidth="1"/>
    <col min="9" max="9" width="12.5703125" style="1" customWidth="1"/>
    <col min="10" max="10" width="11.5703125" style="1" customWidth="1"/>
    <col min="11" max="11" width="17.85546875" style="1" customWidth="1"/>
    <col min="12" max="18" width="18.85546875" style="1" hidden="1" customWidth="1"/>
    <col min="19" max="24" width="0" style="1" hidden="1" customWidth="1"/>
    <col min="25" max="16384" width="8.85546875" style="1" hidden="1"/>
  </cols>
  <sheetData>
    <row r="1" spans="1:24">
      <c r="A1" s="2"/>
      <c r="E1" s="1" t="s">
        <v>25</v>
      </c>
      <c r="F1" s="1" t="s">
        <v>25</v>
      </c>
      <c r="G1" s="1" t="s">
        <v>25</v>
      </c>
      <c r="H1" s="1" t="s">
        <v>25</v>
      </c>
    </row>
    <row r="2" spans="1:24" ht="18.75" customHeight="1">
      <c r="A2" s="2"/>
      <c r="B2" s="2"/>
      <c r="C2" s="180" t="s">
        <v>283</v>
      </c>
      <c r="D2" s="180"/>
      <c r="E2" s="180"/>
      <c r="F2" s="180"/>
      <c r="G2" s="180"/>
      <c r="H2" s="180"/>
      <c r="I2" s="180"/>
      <c r="J2" s="180"/>
      <c r="K2" s="2"/>
      <c r="L2" s="2"/>
      <c r="M2" s="2"/>
      <c r="N2" s="2"/>
      <c r="O2" s="2"/>
      <c r="P2" s="2"/>
      <c r="Q2" s="2"/>
      <c r="U2" s="1" t="s">
        <v>25</v>
      </c>
      <c r="V2" s="1" t="s">
        <v>25</v>
      </c>
      <c r="W2" s="1" t="s">
        <v>25</v>
      </c>
      <c r="X2" s="1" t="s">
        <v>25</v>
      </c>
    </row>
    <row r="3" spans="1:24" ht="18.75">
      <c r="A3" s="2"/>
      <c r="B3" s="2"/>
      <c r="C3" s="181" t="s">
        <v>441</v>
      </c>
      <c r="D3" s="181"/>
      <c r="E3" s="181"/>
      <c r="F3" s="181"/>
      <c r="G3" s="181"/>
      <c r="H3" s="181"/>
      <c r="I3" s="181"/>
      <c r="J3" s="181"/>
      <c r="K3" s="2"/>
      <c r="L3" s="2"/>
      <c r="M3" s="2"/>
      <c r="N3" s="2"/>
      <c r="O3" s="2"/>
      <c r="P3" s="2"/>
      <c r="Q3" s="2"/>
    </row>
    <row r="4" spans="1:24" ht="18" customHeight="1">
      <c r="C4" s="180" t="s">
        <v>198</v>
      </c>
      <c r="D4" s="180"/>
      <c r="E4" s="180"/>
      <c r="F4" s="180"/>
      <c r="G4" s="180"/>
      <c r="H4" s="180"/>
      <c r="I4" s="180"/>
      <c r="J4" s="180"/>
    </row>
    <row r="5" spans="1:24" ht="18.75">
      <c r="C5" s="182"/>
      <c r="D5" s="182"/>
      <c r="E5" s="182"/>
      <c r="F5" s="182"/>
      <c r="G5" s="182"/>
      <c r="H5" s="182"/>
      <c r="I5" s="182"/>
      <c r="J5" s="182"/>
    </row>
    <row r="6" spans="1:24" ht="39" customHeight="1">
      <c r="C6" s="183" t="s">
        <v>284</v>
      </c>
      <c r="D6" s="183"/>
      <c r="E6" s="183"/>
      <c r="F6" s="183"/>
      <c r="G6" s="183"/>
      <c r="H6" s="183"/>
      <c r="I6" s="183"/>
      <c r="J6" s="183"/>
    </row>
    <row r="7" spans="1:24" ht="22.5">
      <c r="C7" s="187" t="s">
        <v>185</v>
      </c>
      <c r="D7" s="187"/>
      <c r="E7" s="187"/>
      <c r="F7" s="187"/>
      <c r="G7" s="187"/>
      <c r="H7" s="187"/>
      <c r="I7" s="187"/>
      <c r="J7" s="187"/>
    </row>
    <row r="8" spans="1:24" ht="32.1" customHeight="1" thickBot="1">
      <c r="C8" s="184" t="s">
        <v>182</v>
      </c>
      <c r="D8" s="184"/>
      <c r="E8" s="184"/>
      <c r="F8" s="184"/>
      <c r="G8" s="184"/>
      <c r="H8" s="184"/>
      <c r="I8" s="184"/>
      <c r="J8" s="184"/>
    </row>
    <row r="9" spans="1:24" ht="32.1" customHeight="1" thickBot="1">
      <c r="C9" s="127"/>
      <c r="D9" s="127"/>
      <c r="E9" s="129" t="s">
        <v>80</v>
      </c>
      <c r="F9" s="189">
        <v>45565</v>
      </c>
      <c r="G9" s="190"/>
      <c r="H9" s="127"/>
      <c r="I9" s="127"/>
      <c r="J9" s="127"/>
    </row>
    <row r="10" spans="1:24" ht="14.25">
      <c r="C10" s="188"/>
      <c r="D10" s="188"/>
      <c r="E10" s="188"/>
      <c r="F10" s="188"/>
      <c r="G10" s="188"/>
      <c r="H10" s="188"/>
      <c r="I10" s="188"/>
      <c r="J10" s="188"/>
    </row>
    <row r="11" spans="1:24" ht="19.5">
      <c r="C11" s="184" t="s">
        <v>183</v>
      </c>
      <c r="D11" s="184"/>
      <c r="E11" s="184"/>
      <c r="F11" s="184"/>
      <c r="G11" s="184"/>
      <c r="H11" s="184"/>
      <c r="I11" s="184"/>
      <c r="J11" s="184"/>
    </row>
    <row r="12" spans="1:24" ht="19.5">
      <c r="C12" s="118"/>
      <c r="D12" s="118"/>
      <c r="E12" s="185">
        <v>45593</v>
      </c>
      <c r="F12" s="185"/>
      <c r="G12" s="185"/>
      <c r="H12" s="185"/>
      <c r="I12" s="118"/>
      <c r="J12" s="118"/>
    </row>
    <row r="13" spans="1:24" ht="17.25">
      <c r="C13" s="119"/>
      <c r="D13" s="119"/>
      <c r="E13" s="119"/>
      <c r="F13" s="186" t="s">
        <v>184</v>
      </c>
      <c r="G13" s="186"/>
      <c r="H13" s="119"/>
      <c r="I13" s="119"/>
      <c r="J13" s="119"/>
    </row>
    <row r="14" spans="1:24"/>
    <row r="15" spans="1:24" ht="37.9" customHeight="1">
      <c r="B15" s="128"/>
    </row>
  </sheetData>
  <sheetProtection algorithmName="SHA-512" hashValue="S65ToBIr/DvK0RBAW3+4jV+0cDYLmbCgls8awt4GoLDxnu8SiHtzgPpJiQr0yT5/CtywG656Wei6A29CC72Yng==" saltValue="x3+WdN5yIWTdN+eCXjL/2w==" spinCount="100000" sheet="1" selectLockedCells="1"/>
  <customSheetViews>
    <customSheetView guid="{6BAB6937-F4A7-406E-B6D7-F3AB26E9CB76}" topLeftCell="A4">
      <selection activeCell="E12" sqref="E12:H12"/>
      <pageMargins left="0" right="0" top="0.78740157480314965" bottom="0.47244094488188981" header="0.47244094488188981" footer="0.19685039370078741"/>
      <printOptions horizontalCentered="1" gridLines="1"/>
      <pageSetup paperSize="9" scale="92" orientation="portrait" r:id="rId1"/>
      <headerFooter alignWithMargins="0"/>
    </customSheetView>
    <customSheetView guid="{6FD7F56A-E857-4CED-A5A1-7DEC8753A8FB}" topLeftCell="A4">
      <selection activeCell="E12" sqref="E12:H12"/>
      <pageMargins left="0" right="0" top="0.78740157480314965" bottom="0.47244094488188981" header="0.47244094488188981" footer="0.19685039370078741"/>
      <printOptions horizontalCentered="1" gridLines="1"/>
      <pageSetup paperSize="9" scale="92" orientation="portrait" r:id="rId2"/>
      <headerFooter alignWithMargins="0"/>
    </customSheetView>
    <customSheetView guid="{91D31259-BF8C-4449-A829-EAD5467CE226}">
      <selection activeCell="E14" sqref="E14"/>
      <pageMargins left="0" right="0" top="0.78740157480314965" bottom="0.47244094488188981" header="0.47244094488188981" footer="0.19685039370078741"/>
      <printOptions horizontalCentered="1" gridLines="1"/>
      <pageSetup paperSize="9" scale="92" orientation="portrait" r:id="rId3"/>
      <headerFooter alignWithMargins="0"/>
    </customSheetView>
  </customSheetViews>
  <mergeCells count="14">
    <mergeCell ref="C11:J11"/>
    <mergeCell ref="E12:H12"/>
    <mergeCell ref="F13:G13"/>
    <mergeCell ref="C7:J7"/>
    <mergeCell ref="C8:J8"/>
    <mergeCell ref="C10:E10"/>
    <mergeCell ref="F10:G10"/>
    <mergeCell ref="H10:J10"/>
    <mergeCell ref="F9:G9"/>
    <mergeCell ref="C2:J2"/>
    <mergeCell ref="C3:J3"/>
    <mergeCell ref="C4:J4"/>
    <mergeCell ref="C5:J5"/>
    <mergeCell ref="C6:J6"/>
  </mergeCells>
  <dataValidations count="2">
    <dataValidation type="date" allowBlank="1" showInputMessage="1" showErrorMessage="1" sqref="C12:C13" xr:uid="{00000000-0002-0000-0000-000000000000}">
      <formula1>41275</formula1>
      <formula2>46022</formula2>
    </dataValidation>
    <dataValidation type="list" allowBlank="1" showInputMessage="1" showErrorMessage="1" sqref="C12:C13" xr:uid="{00000000-0002-0000-0000-000001000000}">
      <formula1>$C$7:$C$12</formula1>
    </dataValidation>
  </dataValidations>
  <printOptions horizontalCentered="1" gridLinesSet="0"/>
  <pageMargins left="0" right="0" top="0.78740157480314965" bottom="0.47244094488188981" header="0.47244094488188981" footer="0.19685039370078741"/>
  <pageSetup paperSize="9" scale="86" orientation="portrait" r:id="rId4"/>
  <headerFooter alignWithMargins="0"/>
  <colBreaks count="1" manualBreakCount="1">
    <brk id="10" max="12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Controls!$B$3:$B$28</xm:f>
          </x14:formula1>
          <xm:sqref>C7:J7</xm:sqref>
        </x14:dataValidation>
        <x14:dataValidation type="list" allowBlank="1" showInputMessage="1" showErrorMessage="1" xr:uid="{00000000-0002-0000-0000-000003000000}">
          <x14:formula1>
            <xm:f>Controls!$H$3:$H$147</xm:f>
          </x14:formula1>
          <xm:sqref>F9:G9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2:Y114"/>
  <sheetViews>
    <sheetView showGridLines="0" zoomScale="106" zoomScaleNormal="106" workbookViewId="0">
      <selection activeCell="M81" sqref="M81"/>
    </sheetView>
  </sheetViews>
  <sheetFormatPr defaultColWidth="8.85546875" defaultRowHeight="12.75"/>
  <cols>
    <col min="1" max="1" width="2" style="43" customWidth="1"/>
    <col min="2" max="2" width="16.5703125" style="43" customWidth="1"/>
    <col min="3" max="3" width="5.85546875" style="43" customWidth="1"/>
    <col min="4" max="4" width="1.85546875" style="43" customWidth="1"/>
    <col min="5" max="5" width="9.85546875" style="43" customWidth="1"/>
    <col min="6" max="6" width="1.85546875" style="43" customWidth="1"/>
    <col min="7" max="7" width="5.85546875" style="43" customWidth="1"/>
    <col min="8" max="8" width="1.85546875" style="43" customWidth="1"/>
    <col min="9" max="9" width="9.85546875" style="43" customWidth="1"/>
    <col min="10" max="10" width="2.5703125" style="43" customWidth="1"/>
    <col min="11" max="11" width="5.85546875" style="43" customWidth="1"/>
    <col min="12" max="12" width="1.85546875" style="43" customWidth="1"/>
    <col min="13" max="13" width="9.85546875" style="43" customWidth="1"/>
    <col min="14" max="14" width="2.5703125" style="43" customWidth="1"/>
    <col min="15" max="15" width="1.85546875" style="43" customWidth="1"/>
    <col min="16" max="16" width="9" style="43" customWidth="1"/>
    <col min="17" max="17" width="1.85546875" style="43" customWidth="1"/>
    <col min="18" max="18" width="10.85546875" style="43" customWidth="1"/>
    <col min="19" max="16384" width="8.85546875" style="43"/>
  </cols>
  <sheetData>
    <row r="2" spans="1:18">
      <c r="A2" s="46"/>
      <c r="B2" s="47"/>
      <c r="C2" s="47"/>
      <c r="D2" s="47"/>
      <c r="E2" s="47"/>
      <c r="F2" s="47"/>
      <c r="G2" s="47"/>
      <c r="H2" s="47"/>
      <c r="I2" s="48"/>
      <c r="J2" s="48"/>
      <c r="K2" s="47"/>
      <c r="L2" s="47"/>
      <c r="M2" s="47"/>
      <c r="N2" s="47"/>
      <c r="O2" s="47"/>
      <c r="P2" s="47"/>
      <c r="Q2" s="47"/>
      <c r="R2" s="46" t="s">
        <v>192</v>
      </c>
    </row>
    <row r="3" spans="1:18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5.75">
      <c r="A4" s="87" t="s">
        <v>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</row>
    <row r="5" spans="1:18" ht="15.75">
      <c r="A5" s="88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5.75">
      <c r="A6" s="87" t="s">
        <v>119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</row>
    <row r="7" spans="1:18" ht="15.75">
      <c r="A7" s="88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</row>
    <row r="8" spans="1:18" ht="15.75">
      <c r="A8" s="87" t="s">
        <v>67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11" spans="1:18">
      <c r="D11" s="53"/>
      <c r="F11" s="44"/>
      <c r="H11" s="53"/>
      <c r="I11" s="44"/>
      <c r="J11" s="44"/>
      <c r="L11" s="53"/>
      <c r="M11" s="44"/>
      <c r="N11" s="44"/>
      <c r="O11" s="47"/>
      <c r="P11" s="52" t="s">
        <v>108</v>
      </c>
      <c r="Q11" s="52"/>
      <c r="R11" s="47"/>
    </row>
    <row r="12" spans="1:18">
      <c r="A12" s="45" t="s">
        <v>4</v>
      </c>
      <c r="B12" s="45" t="s">
        <v>62</v>
      </c>
      <c r="C12" s="52"/>
      <c r="D12" s="52"/>
      <c r="E12" s="53" t="s">
        <v>59</v>
      </c>
      <c r="F12" s="47"/>
      <c r="G12" s="52"/>
      <c r="H12" s="52"/>
      <c r="I12" s="53" t="s">
        <v>60</v>
      </c>
      <c r="J12" s="47"/>
      <c r="K12" s="52"/>
      <c r="L12" s="52"/>
      <c r="M12" s="53" t="s">
        <v>61</v>
      </c>
      <c r="N12" s="47"/>
      <c r="O12" s="47"/>
      <c r="P12" s="52" t="s">
        <v>7</v>
      </c>
      <c r="Q12" s="52"/>
      <c r="R12" s="47"/>
    </row>
    <row r="13" spans="1:18">
      <c r="C13" s="52"/>
      <c r="D13" s="52"/>
      <c r="E13" s="47"/>
      <c r="F13" s="47"/>
      <c r="G13" s="52"/>
      <c r="H13" s="52"/>
      <c r="I13" s="47"/>
      <c r="J13" s="47"/>
      <c r="K13" s="52"/>
      <c r="L13" s="52"/>
      <c r="M13" s="47"/>
      <c r="N13" s="47"/>
      <c r="O13" s="47"/>
      <c r="P13" s="52" t="s">
        <v>10</v>
      </c>
      <c r="Q13" s="52"/>
      <c r="R13" s="47"/>
    </row>
    <row r="15" spans="1:18">
      <c r="C15" s="48" t="s">
        <v>12</v>
      </c>
      <c r="D15" s="48"/>
      <c r="E15" s="44" t="s">
        <v>13</v>
      </c>
      <c r="F15" s="48"/>
      <c r="G15" s="48" t="s">
        <v>12</v>
      </c>
      <c r="H15" s="48"/>
      <c r="I15" s="44" t="s">
        <v>13</v>
      </c>
      <c r="J15" s="48"/>
      <c r="K15" s="48" t="s">
        <v>12</v>
      </c>
      <c r="L15" s="48"/>
      <c r="M15" s="44" t="s">
        <v>13</v>
      </c>
      <c r="N15" s="48"/>
      <c r="O15" s="48"/>
      <c r="P15" s="48" t="s">
        <v>12</v>
      </c>
      <c r="Q15" s="48"/>
      <c r="R15" s="44" t="s">
        <v>13</v>
      </c>
    </row>
    <row r="16" spans="1:18">
      <c r="C16" s="48"/>
      <c r="D16" s="48"/>
      <c r="E16" s="54" t="s">
        <v>14</v>
      </c>
      <c r="F16" s="55"/>
      <c r="G16" s="48"/>
      <c r="H16" s="48"/>
      <c r="I16" s="54" t="s">
        <v>14</v>
      </c>
      <c r="J16" s="55"/>
      <c r="K16" s="48"/>
      <c r="L16" s="48"/>
      <c r="M16" s="54" t="s">
        <v>14</v>
      </c>
      <c r="N16" s="55"/>
      <c r="O16" s="55"/>
      <c r="P16" s="48"/>
      <c r="Q16" s="48"/>
      <c r="R16" s="54" t="s">
        <v>14</v>
      </c>
    </row>
    <row r="17" spans="1:18"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</row>
    <row r="18" spans="1:18">
      <c r="A18" s="43" t="s">
        <v>15</v>
      </c>
      <c r="B18" s="57" t="s">
        <v>16</v>
      </c>
      <c r="C18" s="51"/>
      <c r="D18" s="51"/>
      <c r="E18" s="51"/>
      <c r="F18" s="51"/>
      <c r="G18" s="51"/>
      <c r="H18" s="51"/>
      <c r="I18" s="51"/>
      <c r="J18" s="51"/>
      <c r="K18" s="51"/>
      <c r="L18" s="42"/>
      <c r="M18" s="51"/>
      <c r="N18" s="42"/>
      <c r="O18" s="42"/>
      <c r="P18" s="51"/>
      <c r="Q18" s="42"/>
      <c r="R18" s="51"/>
    </row>
    <row r="19" spans="1:18">
      <c r="B19" s="57"/>
      <c r="C19" s="51"/>
      <c r="D19" s="51"/>
      <c r="E19" s="51"/>
      <c r="F19" s="51"/>
      <c r="G19" s="51"/>
      <c r="H19" s="51"/>
      <c r="I19" s="51"/>
      <c r="J19" s="51"/>
      <c r="K19" s="51"/>
      <c r="L19" s="42"/>
      <c r="M19" s="51"/>
      <c r="N19" s="42"/>
      <c r="O19" s="42"/>
      <c r="P19" s="51"/>
      <c r="Q19" s="42"/>
      <c r="R19" s="51"/>
    </row>
    <row r="20" spans="1:18">
      <c r="B20" s="43" t="s">
        <v>104</v>
      </c>
      <c r="C20" s="58"/>
      <c r="D20" s="56"/>
      <c r="E20" s="58"/>
      <c r="F20" s="51"/>
      <c r="G20" s="58"/>
      <c r="H20" s="56"/>
      <c r="I20" s="58"/>
      <c r="J20" s="51"/>
      <c r="K20" s="58"/>
      <c r="L20" s="56"/>
      <c r="M20" s="58"/>
      <c r="P20" s="61">
        <f t="shared" ref="P20:P33" si="0">C20+G20+K20</f>
        <v>0</v>
      </c>
      <c r="Q20" s="56"/>
      <c r="R20" s="61">
        <f t="shared" ref="R20:R33" si="1">E20+I20+M20</f>
        <v>0</v>
      </c>
    </row>
    <row r="21" spans="1:18">
      <c r="B21" s="43" t="s">
        <v>120</v>
      </c>
      <c r="C21" s="58"/>
      <c r="D21" s="56"/>
      <c r="E21" s="58"/>
      <c r="F21" s="51"/>
      <c r="G21" s="58"/>
      <c r="H21" s="56"/>
      <c r="I21" s="58"/>
      <c r="J21" s="51"/>
      <c r="K21" s="58"/>
      <c r="L21" s="56"/>
      <c r="M21" s="58"/>
      <c r="P21" s="61">
        <f t="shared" si="0"/>
        <v>0</v>
      </c>
      <c r="Q21" s="56"/>
      <c r="R21" s="61">
        <f t="shared" si="1"/>
        <v>0</v>
      </c>
    </row>
    <row r="22" spans="1:18">
      <c r="B22" s="43" t="s">
        <v>121</v>
      </c>
      <c r="C22" s="58"/>
      <c r="D22" s="56"/>
      <c r="E22" s="58"/>
      <c r="F22" s="51"/>
      <c r="G22" s="58"/>
      <c r="H22" s="56"/>
      <c r="I22" s="58"/>
      <c r="J22" s="51"/>
      <c r="K22" s="58"/>
      <c r="L22" s="56"/>
      <c r="M22" s="58"/>
      <c r="P22" s="61">
        <f t="shared" si="0"/>
        <v>0</v>
      </c>
      <c r="Q22" s="56"/>
      <c r="R22" s="61">
        <f t="shared" si="1"/>
        <v>0</v>
      </c>
    </row>
    <row r="23" spans="1:18">
      <c r="B23" s="59" t="s">
        <v>122</v>
      </c>
      <c r="C23" s="58"/>
      <c r="D23" s="56"/>
      <c r="E23" s="58"/>
      <c r="F23" s="51"/>
      <c r="G23" s="58"/>
      <c r="H23" s="56"/>
      <c r="I23" s="58"/>
      <c r="J23" s="51"/>
      <c r="K23" s="58"/>
      <c r="L23" s="56"/>
      <c r="M23" s="58"/>
      <c r="P23" s="61">
        <f t="shared" si="0"/>
        <v>0</v>
      </c>
      <c r="Q23" s="56"/>
      <c r="R23" s="61">
        <f t="shared" si="1"/>
        <v>0</v>
      </c>
    </row>
    <row r="24" spans="1:18">
      <c r="B24" s="43" t="s">
        <v>123</v>
      </c>
      <c r="C24" s="58"/>
      <c r="D24" s="56"/>
      <c r="E24" s="58"/>
      <c r="F24" s="51"/>
      <c r="G24" s="58"/>
      <c r="H24" s="56"/>
      <c r="I24" s="58"/>
      <c r="J24" s="51"/>
      <c r="K24" s="58"/>
      <c r="L24" s="56"/>
      <c r="M24" s="58"/>
      <c r="P24" s="61">
        <f t="shared" si="0"/>
        <v>0</v>
      </c>
      <c r="Q24" s="56"/>
      <c r="R24" s="61">
        <f t="shared" si="1"/>
        <v>0</v>
      </c>
    </row>
    <row r="25" spans="1:18">
      <c r="B25" s="43" t="s">
        <v>124</v>
      </c>
      <c r="C25" s="58"/>
      <c r="D25" s="56"/>
      <c r="E25" s="58"/>
      <c r="F25" s="51"/>
      <c r="G25" s="58"/>
      <c r="H25" s="56"/>
      <c r="I25" s="58"/>
      <c r="J25" s="51"/>
      <c r="K25" s="58"/>
      <c r="L25" s="56"/>
      <c r="M25" s="58"/>
      <c r="P25" s="61">
        <f t="shared" si="0"/>
        <v>0</v>
      </c>
      <c r="Q25" s="56"/>
      <c r="R25" s="61">
        <f t="shared" si="1"/>
        <v>0</v>
      </c>
    </row>
    <row r="26" spans="1:18">
      <c r="B26" s="43" t="s">
        <v>125</v>
      </c>
      <c r="C26" s="58"/>
      <c r="D26" s="56"/>
      <c r="E26" s="58"/>
      <c r="F26" s="51"/>
      <c r="G26" s="58"/>
      <c r="H26" s="56"/>
      <c r="I26" s="58"/>
      <c r="J26" s="51"/>
      <c r="K26" s="58"/>
      <c r="L26" s="56"/>
      <c r="M26" s="58"/>
      <c r="P26" s="61">
        <f t="shared" si="0"/>
        <v>0</v>
      </c>
      <c r="Q26" s="56"/>
      <c r="R26" s="61">
        <f t="shared" si="1"/>
        <v>0</v>
      </c>
    </row>
    <row r="27" spans="1:18">
      <c r="B27" s="43" t="s">
        <v>126</v>
      </c>
      <c r="C27" s="58"/>
      <c r="D27" s="56"/>
      <c r="E27" s="58"/>
      <c r="F27" s="51"/>
      <c r="G27" s="58"/>
      <c r="H27" s="56"/>
      <c r="I27" s="58"/>
      <c r="J27" s="51"/>
      <c r="K27" s="58"/>
      <c r="L27" s="56"/>
      <c r="M27" s="58"/>
      <c r="P27" s="61">
        <f t="shared" si="0"/>
        <v>0</v>
      </c>
      <c r="Q27" s="56"/>
      <c r="R27" s="61">
        <f t="shared" si="1"/>
        <v>0</v>
      </c>
    </row>
    <row r="28" spans="1:18">
      <c r="B28" s="43" t="s">
        <v>127</v>
      </c>
      <c r="C28" s="58"/>
      <c r="D28" s="56"/>
      <c r="E28" s="58"/>
      <c r="F28" s="51"/>
      <c r="G28" s="58"/>
      <c r="H28" s="56"/>
      <c r="I28" s="58"/>
      <c r="J28" s="51"/>
      <c r="K28" s="58"/>
      <c r="L28" s="56"/>
      <c r="M28" s="58"/>
      <c r="P28" s="61">
        <f t="shared" si="0"/>
        <v>0</v>
      </c>
      <c r="Q28" s="56"/>
      <c r="R28" s="61">
        <f t="shared" si="1"/>
        <v>0</v>
      </c>
    </row>
    <row r="29" spans="1:18">
      <c r="B29" s="43" t="s">
        <v>128</v>
      </c>
      <c r="C29" s="58"/>
      <c r="D29" s="56"/>
      <c r="E29" s="58"/>
      <c r="F29" s="51"/>
      <c r="G29" s="58"/>
      <c r="H29" s="56"/>
      <c r="I29" s="58"/>
      <c r="J29" s="51"/>
      <c r="K29" s="58"/>
      <c r="L29" s="56"/>
      <c r="M29" s="58"/>
      <c r="P29" s="61">
        <f t="shared" si="0"/>
        <v>0</v>
      </c>
      <c r="Q29" s="56"/>
      <c r="R29" s="61">
        <f t="shared" si="1"/>
        <v>0</v>
      </c>
    </row>
    <row r="30" spans="1:18">
      <c r="B30" s="43" t="s">
        <v>129</v>
      </c>
      <c r="C30" s="58"/>
      <c r="D30" s="56"/>
      <c r="E30" s="58"/>
      <c r="F30" s="51"/>
      <c r="G30" s="58"/>
      <c r="H30" s="56"/>
      <c r="I30" s="58"/>
      <c r="J30" s="51"/>
      <c r="K30" s="58"/>
      <c r="L30" s="56"/>
      <c r="M30" s="58"/>
      <c r="P30" s="61">
        <f t="shared" si="0"/>
        <v>0</v>
      </c>
      <c r="Q30" s="56"/>
      <c r="R30" s="61">
        <f t="shared" si="1"/>
        <v>0</v>
      </c>
    </row>
    <row r="31" spans="1:18">
      <c r="B31" s="43" t="s">
        <v>130</v>
      </c>
      <c r="C31" s="58"/>
      <c r="D31" s="56"/>
      <c r="E31" s="58"/>
      <c r="F31" s="51"/>
      <c r="G31" s="58"/>
      <c r="H31" s="56"/>
      <c r="I31" s="58"/>
      <c r="J31" s="51"/>
      <c r="K31" s="58"/>
      <c r="L31" s="56"/>
      <c r="M31" s="58"/>
      <c r="P31" s="61">
        <f t="shared" si="0"/>
        <v>0</v>
      </c>
      <c r="Q31" s="56"/>
      <c r="R31" s="61">
        <f t="shared" si="1"/>
        <v>0</v>
      </c>
    </row>
    <row r="32" spans="1:18">
      <c r="B32" s="43" t="s">
        <v>131</v>
      </c>
      <c r="C32" s="58"/>
      <c r="D32" s="56"/>
      <c r="E32" s="58"/>
      <c r="F32" s="51"/>
      <c r="G32" s="58"/>
      <c r="H32" s="56"/>
      <c r="I32" s="58"/>
      <c r="J32" s="51"/>
      <c r="K32" s="58"/>
      <c r="L32" s="56"/>
      <c r="M32" s="58"/>
      <c r="P32" s="61">
        <f t="shared" si="0"/>
        <v>0</v>
      </c>
      <c r="Q32" s="56"/>
      <c r="R32" s="61">
        <f t="shared" si="1"/>
        <v>0</v>
      </c>
    </row>
    <row r="33" spans="1:18">
      <c r="B33" s="43" t="s">
        <v>52</v>
      </c>
      <c r="C33" s="58"/>
      <c r="D33" s="56"/>
      <c r="E33" s="58"/>
      <c r="F33" s="51"/>
      <c r="G33" s="58"/>
      <c r="H33" s="56"/>
      <c r="I33" s="58"/>
      <c r="J33" s="51"/>
      <c r="K33" s="58"/>
      <c r="L33" s="56"/>
      <c r="M33" s="58"/>
      <c r="P33" s="61">
        <f t="shared" si="0"/>
        <v>0</v>
      </c>
      <c r="Q33" s="56"/>
      <c r="R33" s="61">
        <f t="shared" si="1"/>
        <v>0</v>
      </c>
    </row>
    <row r="34" spans="1:18">
      <c r="C34" s="56"/>
      <c r="D34" s="56"/>
      <c r="E34" s="56"/>
      <c r="F34" s="51"/>
      <c r="G34" s="56"/>
      <c r="H34" s="56"/>
      <c r="I34" s="56"/>
      <c r="J34" s="51"/>
      <c r="K34" s="56"/>
      <c r="L34" s="56"/>
      <c r="M34" s="56"/>
      <c r="P34" s="56"/>
      <c r="Q34" s="56"/>
      <c r="R34" s="56"/>
    </row>
    <row r="35" spans="1:18">
      <c r="B35" s="43" t="s">
        <v>187</v>
      </c>
      <c r="C35" s="61">
        <f>SUM(C20:C33)</f>
        <v>0</v>
      </c>
      <c r="D35" s="44"/>
      <c r="E35" s="61">
        <f>SUM(E20:E33)</f>
        <v>0</v>
      </c>
      <c r="F35" s="44"/>
      <c r="G35" s="61">
        <f>SUM(G20:G33)</f>
        <v>0</v>
      </c>
      <c r="H35" s="44"/>
      <c r="I35" s="61">
        <f>SUM(I20:I33)</f>
        <v>0</v>
      </c>
      <c r="J35" s="44"/>
      <c r="K35" s="61">
        <f>SUM(K20:K33)</f>
        <v>0</v>
      </c>
      <c r="L35"/>
      <c r="M35" s="61">
        <f>SUM(M20:M33)</f>
        <v>0</v>
      </c>
      <c r="N35"/>
      <c r="P35" s="61">
        <f>SUM(P20:P33)</f>
        <v>0</v>
      </c>
      <c r="Q35" s="56"/>
      <c r="R35" s="61">
        <f>SUM(R20:R33)</f>
        <v>0</v>
      </c>
    </row>
    <row r="36" spans="1:18">
      <c r="C36" s="56"/>
      <c r="D36" s="56"/>
      <c r="E36" s="56"/>
      <c r="F36" s="51"/>
      <c r="G36" s="56"/>
      <c r="H36" s="56"/>
      <c r="I36" s="56"/>
      <c r="J36" s="51"/>
      <c r="K36" s="56"/>
      <c r="L36" s="56"/>
      <c r="M36" s="56"/>
      <c r="P36" s="56"/>
      <c r="Q36" s="56"/>
      <c r="R36" s="56"/>
    </row>
    <row r="37" spans="1:18">
      <c r="A37" s="43" t="s">
        <v>17</v>
      </c>
      <c r="B37" s="57" t="s">
        <v>18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</row>
    <row r="38" spans="1:18">
      <c r="B38" s="57" t="s">
        <v>112</v>
      </c>
      <c r="C38" s="51"/>
      <c r="D38" s="51"/>
      <c r="E38" s="51"/>
      <c r="F38" s="51"/>
      <c r="G38" s="51"/>
      <c r="H38" s="51"/>
      <c r="I38" s="51"/>
      <c r="J38" s="51"/>
      <c r="K38" s="51"/>
      <c r="L38" s="42"/>
      <c r="M38" s="51"/>
      <c r="N38" s="42"/>
      <c r="O38" s="42"/>
      <c r="P38" s="51"/>
      <c r="Q38" s="42"/>
      <c r="R38" s="51"/>
    </row>
    <row r="39" spans="1:18">
      <c r="B39" s="43" t="s">
        <v>104</v>
      </c>
      <c r="C39" s="58"/>
      <c r="D39" s="56"/>
      <c r="E39" s="58"/>
      <c r="F39" s="51"/>
      <c r="G39" s="58"/>
      <c r="H39" s="56"/>
      <c r="I39" s="58"/>
      <c r="J39" s="51"/>
      <c r="K39" s="58"/>
      <c r="L39" s="56"/>
      <c r="M39" s="58"/>
      <c r="N39" s="42"/>
      <c r="O39" s="42"/>
      <c r="P39" s="61">
        <f t="shared" ref="P39:P52" si="2">C39+G39+K39</f>
        <v>0</v>
      </c>
      <c r="Q39" s="56"/>
      <c r="R39" s="61">
        <f t="shared" ref="R39:R52" si="3">E39+I39+M39</f>
        <v>0</v>
      </c>
    </row>
    <row r="40" spans="1:18">
      <c r="B40" s="43" t="s">
        <v>120</v>
      </c>
      <c r="C40" s="58"/>
      <c r="D40" s="56"/>
      <c r="E40" s="58"/>
      <c r="F40" s="51"/>
      <c r="G40" s="58"/>
      <c r="H40" s="56"/>
      <c r="I40" s="58"/>
      <c r="J40" s="51"/>
      <c r="K40" s="58"/>
      <c r="L40" s="56"/>
      <c r="M40" s="58"/>
      <c r="N40" s="42"/>
      <c r="O40" s="42"/>
      <c r="P40" s="61">
        <f t="shared" si="2"/>
        <v>0</v>
      </c>
      <c r="Q40" s="56"/>
      <c r="R40" s="61">
        <f t="shared" si="3"/>
        <v>0</v>
      </c>
    </row>
    <row r="41" spans="1:18">
      <c r="B41" s="43" t="s">
        <v>121</v>
      </c>
      <c r="C41" s="58"/>
      <c r="D41" s="56"/>
      <c r="E41" s="58"/>
      <c r="F41" s="51"/>
      <c r="G41" s="58"/>
      <c r="H41" s="56"/>
      <c r="I41" s="58"/>
      <c r="J41" s="51"/>
      <c r="K41" s="58"/>
      <c r="L41" s="56"/>
      <c r="M41" s="58"/>
      <c r="N41" s="42"/>
      <c r="O41" s="42"/>
      <c r="P41" s="61">
        <f t="shared" si="2"/>
        <v>0</v>
      </c>
      <c r="Q41" s="56"/>
      <c r="R41" s="61">
        <f t="shared" si="3"/>
        <v>0</v>
      </c>
    </row>
    <row r="42" spans="1:18">
      <c r="B42" s="59" t="s">
        <v>122</v>
      </c>
      <c r="C42" s="58"/>
      <c r="D42" s="56"/>
      <c r="E42" s="58"/>
      <c r="F42" s="51"/>
      <c r="G42" s="58"/>
      <c r="H42" s="56"/>
      <c r="I42" s="58"/>
      <c r="J42" s="51"/>
      <c r="K42" s="58"/>
      <c r="L42" s="56"/>
      <c r="M42" s="58"/>
      <c r="N42" s="42"/>
      <c r="O42" s="42"/>
      <c r="P42" s="61">
        <f t="shared" si="2"/>
        <v>0</v>
      </c>
      <c r="Q42" s="56"/>
      <c r="R42" s="61">
        <f t="shared" si="3"/>
        <v>0</v>
      </c>
    </row>
    <row r="43" spans="1:18">
      <c r="B43" s="43" t="s">
        <v>123</v>
      </c>
      <c r="C43" s="58"/>
      <c r="D43" s="56"/>
      <c r="E43" s="58"/>
      <c r="F43" s="51"/>
      <c r="G43" s="58"/>
      <c r="H43" s="56"/>
      <c r="I43" s="58"/>
      <c r="J43" s="51"/>
      <c r="K43" s="58"/>
      <c r="L43" s="56"/>
      <c r="M43" s="58"/>
      <c r="N43" s="42"/>
      <c r="O43" s="42"/>
      <c r="P43" s="61">
        <f t="shared" si="2"/>
        <v>0</v>
      </c>
      <c r="Q43" s="56"/>
      <c r="R43" s="61">
        <f t="shared" si="3"/>
        <v>0</v>
      </c>
    </row>
    <row r="44" spans="1:18">
      <c r="B44" s="43" t="s">
        <v>124</v>
      </c>
      <c r="C44" s="58"/>
      <c r="D44" s="56"/>
      <c r="E44" s="58"/>
      <c r="F44" s="51"/>
      <c r="G44" s="58"/>
      <c r="H44" s="56"/>
      <c r="I44" s="58"/>
      <c r="J44" s="51"/>
      <c r="K44" s="58"/>
      <c r="L44" s="56"/>
      <c r="M44" s="58"/>
      <c r="N44" s="42"/>
      <c r="O44" s="42"/>
      <c r="P44" s="61">
        <f t="shared" si="2"/>
        <v>0</v>
      </c>
      <c r="Q44" s="56"/>
      <c r="R44" s="61">
        <f t="shared" si="3"/>
        <v>0</v>
      </c>
    </row>
    <row r="45" spans="1:18">
      <c r="B45" s="43" t="s">
        <v>125</v>
      </c>
      <c r="C45" s="58"/>
      <c r="D45" s="56"/>
      <c r="E45" s="58"/>
      <c r="F45" s="51"/>
      <c r="G45" s="58"/>
      <c r="H45" s="56"/>
      <c r="I45" s="58"/>
      <c r="J45" s="51"/>
      <c r="K45" s="58"/>
      <c r="L45" s="56"/>
      <c r="M45" s="58"/>
      <c r="N45" s="42"/>
      <c r="O45" s="42"/>
      <c r="P45" s="61">
        <f t="shared" si="2"/>
        <v>0</v>
      </c>
      <c r="Q45" s="56"/>
      <c r="R45" s="61">
        <f t="shared" si="3"/>
        <v>0</v>
      </c>
    </row>
    <row r="46" spans="1:18">
      <c r="B46" s="43" t="s">
        <v>126</v>
      </c>
      <c r="C46" s="58"/>
      <c r="D46" s="56"/>
      <c r="E46" s="58"/>
      <c r="F46" s="51"/>
      <c r="G46" s="58"/>
      <c r="H46" s="56"/>
      <c r="I46" s="58"/>
      <c r="J46" s="51"/>
      <c r="K46" s="58"/>
      <c r="L46" s="56"/>
      <c r="M46" s="58"/>
      <c r="N46" s="42"/>
      <c r="O46" s="42"/>
      <c r="P46" s="61">
        <f t="shared" si="2"/>
        <v>0</v>
      </c>
      <c r="Q46" s="56"/>
      <c r="R46" s="61">
        <f t="shared" si="3"/>
        <v>0</v>
      </c>
    </row>
    <row r="47" spans="1:18">
      <c r="B47" s="43" t="s">
        <v>127</v>
      </c>
      <c r="C47" s="58"/>
      <c r="D47" s="56"/>
      <c r="E47" s="58"/>
      <c r="F47" s="51"/>
      <c r="G47" s="58"/>
      <c r="H47" s="56"/>
      <c r="I47" s="58"/>
      <c r="J47" s="51"/>
      <c r="K47" s="58"/>
      <c r="L47" s="56"/>
      <c r="M47" s="58"/>
      <c r="N47" s="42"/>
      <c r="O47" s="42"/>
      <c r="P47" s="61">
        <f t="shared" si="2"/>
        <v>0</v>
      </c>
      <c r="Q47" s="56"/>
      <c r="R47" s="61">
        <f t="shared" si="3"/>
        <v>0</v>
      </c>
    </row>
    <row r="48" spans="1:18">
      <c r="B48" s="43" t="s">
        <v>128</v>
      </c>
      <c r="C48" s="58"/>
      <c r="D48" s="56"/>
      <c r="E48" s="58"/>
      <c r="F48" s="51"/>
      <c r="G48" s="58"/>
      <c r="H48" s="56"/>
      <c r="I48" s="58"/>
      <c r="J48" s="51"/>
      <c r="K48" s="58"/>
      <c r="L48" s="56"/>
      <c r="M48" s="58"/>
      <c r="N48" s="42"/>
      <c r="O48" s="42"/>
      <c r="P48" s="61">
        <f t="shared" si="2"/>
        <v>0</v>
      </c>
      <c r="Q48" s="56"/>
      <c r="R48" s="61">
        <f t="shared" si="3"/>
        <v>0</v>
      </c>
    </row>
    <row r="49" spans="1:18">
      <c r="B49" s="43" t="s">
        <v>129</v>
      </c>
      <c r="C49" s="58"/>
      <c r="D49" s="56"/>
      <c r="E49" s="58"/>
      <c r="F49" s="51"/>
      <c r="G49" s="58"/>
      <c r="H49" s="56"/>
      <c r="I49" s="58"/>
      <c r="J49" s="51"/>
      <c r="K49" s="58"/>
      <c r="L49" s="56"/>
      <c r="M49" s="58"/>
      <c r="N49" s="42"/>
      <c r="O49" s="42"/>
      <c r="P49" s="61">
        <f t="shared" si="2"/>
        <v>0</v>
      </c>
      <c r="Q49" s="56"/>
      <c r="R49" s="61">
        <f t="shared" si="3"/>
        <v>0</v>
      </c>
    </row>
    <row r="50" spans="1:18">
      <c r="B50" s="43" t="s">
        <v>130</v>
      </c>
      <c r="C50" s="58"/>
      <c r="D50" s="56"/>
      <c r="E50" s="58"/>
      <c r="F50" s="51"/>
      <c r="G50" s="58"/>
      <c r="H50" s="56"/>
      <c r="I50" s="58"/>
      <c r="J50" s="51"/>
      <c r="K50" s="58"/>
      <c r="L50" s="56"/>
      <c r="M50" s="58"/>
      <c r="N50" s="42"/>
      <c r="O50" s="42"/>
      <c r="P50" s="61">
        <f t="shared" si="2"/>
        <v>0</v>
      </c>
      <c r="Q50" s="56"/>
      <c r="R50" s="61">
        <f t="shared" si="3"/>
        <v>0</v>
      </c>
    </row>
    <row r="51" spans="1:18">
      <c r="B51" s="43" t="s">
        <v>131</v>
      </c>
      <c r="C51" s="58"/>
      <c r="D51" s="56"/>
      <c r="E51" s="58"/>
      <c r="F51" s="51"/>
      <c r="G51" s="58"/>
      <c r="H51" s="56"/>
      <c r="I51" s="58"/>
      <c r="J51" s="51"/>
      <c r="K51" s="58"/>
      <c r="L51" s="56"/>
      <c r="M51" s="58"/>
      <c r="N51" s="42"/>
      <c r="O51" s="42"/>
      <c r="P51" s="61">
        <f t="shared" si="2"/>
        <v>0</v>
      </c>
      <c r="Q51" s="56"/>
      <c r="R51" s="61">
        <f t="shared" si="3"/>
        <v>0</v>
      </c>
    </row>
    <row r="52" spans="1:18">
      <c r="B52" s="43" t="s">
        <v>52</v>
      </c>
      <c r="C52" s="58"/>
      <c r="D52" s="56"/>
      <c r="E52" s="58"/>
      <c r="F52" s="51"/>
      <c r="G52" s="58"/>
      <c r="H52" s="56"/>
      <c r="I52" s="58"/>
      <c r="J52" s="51"/>
      <c r="K52" s="58"/>
      <c r="L52" s="56"/>
      <c r="M52" s="58"/>
      <c r="N52" s="42"/>
      <c r="O52" s="42"/>
      <c r="P52" s="61">
        <f t="shared" si="2"/>
        <v>0</v>
      </c>
      <c r="Q52" s="56"/>
      <c r="R52" s="61">
        <f t="shared" si="3"/>
        <v>0</v>
      </c>
    </row>
    <row r="53" spans="1:18">
      <c r="C53" s="56"/>
      <c r="D53" s="56"/>
      <c r="E53" s="56"/>
      <c r="F53" s="51"/>
      <c r="G53" s="56"/>
      <c r="H53" s="56"/>
      <c r="I53" s="56"/>
      <c r="J53" s="51"/>
      <c r="K53" s="56"/>
      <c r="L53" s="56"/>
      <c r="M53" s="56"/>
      <c r="N53" s="42"/>
      <c r="O53" s="42"/>
      <c r="P53" s="56"/>
      <c r="Q53" s="56"/>
      <c r="R53" s="56"/>
    </row>
    <row r="54" spans="1:18">
      <c r="B54" s="43" t="s">
        <v>187</v>
      </c>
      <c r="C54" s="61">
        <f>SUM(C39:C52)</f>
        <v>0</v>
      </c>
      <c r="D54" s="44"/>
      <c r="E54" s="61">
        <f>SUM(E39:E52)</f>
        <v>0</v>
      </c>
      <c r="F54" s="44"/>
      <c r="G54" s="61">
        <f>SUM(G39:G52)</f>
        <v>0</v>
      </c>
      <c r="H54" s="44"/>
      <c r="I54" s="61">
        <f>SUM(I39:I52)</f>
        <v>0</v>
      </c>
      <c r="J54" s="44"/>
      <c r="K54" s="61">
        <f>SUM(K39:K52)</f>
        <v>0</v>
      </c>
      <c r="L54"/>
      <c r="M54" s="61">
        <f>SUM(M39:M52)</f>
        <v>0</v>
      </c>
      <c r="N54"/>
      <c r="P54" s="61">
        <f>SUM(P39:P52)</f>
        <v>0</v>
      </c>
      <c r="Q54" s="56"/>
      <c r="R54" s="61">
        <f>SUM(R39:R52)</f>
        <v>0</v>
      </c>
    </row>
    <row r="55" spans="1:18">
      <c r="C55" s="56"/>
      <c r="D55" s="56"/>
      <c r="E55" s="56"/>
      <c r="F55" s="51"/>
      <c r="G55" s="56"/>
      <c r="H55" s="56"/>
      <c r="I55" s="56"/>
      <c r="J55" s="51"/>
      <c r="K55" s="56"/>
      <c r="L55" s="56"/>
      <c r="M55" s="56"/>
      <c r="N55" s="42"/>
      <c r="O55" s="42"/>
      <c r="P55" s="56"/>
      <c r="Q55" s="56"/>
      <c r="R55" s="56"/>
    </row>
    <row r="56" spans="1:18">
      <c r="A56" s="43" t="s">
        <v>19</v>
      </c>
      <c r="B56" s="57" t="s">
        <v>20</v>
      </c>
    </row>
    <row r="57" spans="1:18">
      <c r="B57" s="57" t="s">
        <v>113</v>
      </c>
      <c r="C57" s="51"/>
      <c r="D57" s="51"/>
      <c r="E57" s="51"/>
      <c r="F57" s="51"/>
      <c r="G57" s="51"/>
      <c r="H57" s="51"/>
      <c r="I57" s="51"/>
      <c r="J57" s="51"/>
      <c r="K57" s="51"/>
      <c r="L57" s="42"/>
      <c r="M57" s="51"/>
      <c r="N57" s="42"/>
      <c r="O57" s="42"/>
      <c r="P57" s="51"/>
      <c r="Q57" s="42"/>
      <c r="R57" s="51"/>
    </row>
    <row r="58" spans="1:18">
      <c r="B58" s="43" t="s">
        <v>104</v>
      </c>
      <c r="C58" s="58"/>
      <c r="D58" s="56"/>
      <c r="E58" s="58"/>
      <c r="F58" s="51"/>
      <c r="G58" s="58"/>
      <c r="H58" s="56"/>
      <c r="I58" s="58"/>
      <c r="J58" s="51"/>
      <c r="K58" s="58"/>
      <c r="L58" s="56"/>
      <c r="M58" s="58"/>
      <c r="N58" s="42"/>
      <c r="O58" s="42"/>
      <c r="P58" s="61">
        <f t="shared" ref="P58:P71" si="4">C58+G58+K58</f>
        <v>0</v>
      </c>
      <c r="Q58" s="56"/>
      <c r="R58" s="61">
        <f t="shared" ref="R58:R71" si="5">E58+I58+M58</f>
        <v>0</v>
      </c>
    </row>
    <row r="59" spans="1:18">
      <c r="B59" s="43" t="s">
        <v>120</v>
      </c>
      <c r="C59" s="58"/>
      <c r="D59" s="56"/>
      <c r="E59" s="58"/>
      <c r="F59" s="51"/>
      <c r="G59" s="58"/>
      <c r="H59" s="56"/>
      <c r="I59" s="58"/>
      <c r="J59" s="51"/>
      <c r="K59" s="58"/>
      <c r="L59" s="56"/>
      <c r="M59" s="58"/>
      <c r="N59" s="42"/>
      <c r="O59" s="42"/>
      <c r="P59" s="61">
        <f t="shared" si="4"/>
        <v>0</v>
      </c>
      <c r="Q59" s="56"/>
      <c r="R59" s="61">
        <f t="shared" si="5"/>
        <v>0</v>
      </c>
    </row>
    <row r="60" spans="1:18">
      <c r="B60" s="43" t="s">
        <v>121</v>
      </c>
      <c r="C60" s="58"/>
      <c r="D60" s="56"/>
      <c r="E60" s="58"/>
      <c r="F60" s="51"/>
      <c r="G60" s="58"/>
      <c r="H60" s="56"/>
      <c r="I60" s="58"/>
      <c r="J60" s="51"/>
      <c r="K60" s="58"/>
      <c r="L60" s="56"/>
      <c r="M60" s="58"/>
      <c r="N60" s="42"/>
      <c r="O60" s="42"/>
      <c r="P60" s="61">
        <f t="shared" si="4"/>
        <v>0</v>
      </c>
      <c r="Q60" s="56"/>
      <c r="R60" s="61">
        <f t="shared" si="5"/>
        <v>0</v>
      </c>
    </row>
    <row r="61" spans="1:18">
      <c r="B61" s="59" t="s">
        <v>122</v>
      </c>
      <c r="C61" s="58"/>
      <c r="D61" s="56"/>
      <c r="E61" s="58"/>
      <c r="F61" s="51"/>
      <c r="G61" s="58"/>
      <c r="H61" s="56"/>
      <c r="I61" s="58"/>
      <c r="J61" s="51"/>
      <c r="K61" s="58"/>
      <c r="L61" s="56"/>
      <c r="M61" s="58"/>
      <c r="N61" s="42"/>
      <c r="O61" s="42"/>
      <c r="P61" s="61">
        <f t="shared" si="4"/>
        <v>0</v>
      </c>
      <c r="Q61" s="56"/>
      <c r="R61" s="61">
        <f t="shared" si="5"/>
        <v>0</v>
      </c>
    </row>
    <row r="62" spans="1:18">
      <c r="B62" s="43" t="s">
        <v>123</v>
      </c>
      <c r="C62" s="58"/>
      <c r="D62" s="56"/>
      <c r="E62" s="58"/>
      <c r="F62" s="51"/>
      <c r="G62" s="58"/>
      <c r="H62" s="56"/>
      <c r="I62" s="58"/>
      <c r="J62" s="51"/>
      <c r="K62" s="58"/>
      <c r="L62" s="56"/>
      <c r="M62" s="58"/>
      <c r="N62" s="42"/>
      <c r="O62" s="42"/>
      <c r="P62" s="61">
        <f t="shared" si="4"/>
        <v>0</v>
      </c>
      <c r="Q62" s="56"/>
      <c r="R62" s="61">
        <f t="shared" si="5"/>
        <v>0</v>
      </c>
    </row>
    <row r="63" spans="1:18">
      <c r="B63" s="43" t="s">
        <v>124</v>
      </c>
      <c r="C63" s="58"/>
      <c r="D63" s="56"/>
      <c r="E63" s="58"/>
      <c r="F63" s="51"/>
      <c r="G63" s="58"/>
      <c r="H63" s="56"/>
      <c r="I63" s="58"/>
      <c r="J63" s="51"/>
      <c r="K63" s="58"/>
      <c r="L63" s="56"/>
      <c r="M63" s="58"/>
      <c r="N63" s="42"/>
      <c r="O63" s="42"/>
      <c r="P63" s="61">
        <f t="shared" si="4"/>
        <v>0</v>
      </c>
      <c r="Q63" s="56"/>
      <c r="R63" s="61">
        <f t="shared" si="5"/>
        <v>0</v>
      </c>
    </row>
    <row r="64" spans="1:18">
      <c r="B64" s="43" t="s">
        <v>125</v>
      </c>
      <c r="C64" s="58"/>
      <c r="D64" s="56"/>
      <c r="E64" s="58"/>
      <c r="F64" s="51"/>
      <c r="G64" s="58"/>
      <c r="H64" s="56"/>
      <c r="I64" s="58"/>
      <c r="J64" s="51"/>
      <c r="K64" s="58"/>
      <c r="L64" s="56"/>
      <c r="M64" s="58"/>
      <c r="N64" s="42"/>
      <c r="O64" s="42"/>
      <c r="P64" s="61">
        <f t="shared" si="4"/>
        <v>0</v>
      </c>
      <c r="Q64" s="56"/>
      <c r="R64" s="61">
        <f t="shared" si="5"/>
        <v>0</v>
      </c>
    </row>
    <row r="65" spans="1:18">
      <c r="B65" s="43" t="s">
        <v>126</v>
      </c>
      <c r="C65" s="58"/>
      <c r="D65" s="56"/>
      <c r="E65" s="58"/>
      <c r="F65" s="51"/>
      <c r="G65" s="58"/>
      <c r="H65" s="56"/>
      <c r="I65" s="58"/>
      <c r="J65" s="51"/>
      <c r="K65" s="58"/>
      <c r="L65" s="56"/>
      <c r="M65" s="58"/>
      <c r="N65" s="42"/>
      <c r="O65" s="42"/>
      <c r="P65" s="61">
        <f t="shared" si="4"/>
        <v>0</v>
      </c>
      <c r="Q65" s="56"/>
      <c r="R65" s="61">
        <f t="shared" si="5"/>
        <v>0</v>
      </c>
    </row>
    <row r="66" spans="1:18">
      <c r="B66" s="43" t="s">
        <v>127</v>
      </c>
      <c r="C66" s="58"/>
      <c r="D66" s="56"/>
      <c r="E66" s="58"/>
      <c r="F66" s="51"/>
      <c r="G66" s="58"/>
      <c r="H66" s="56"/>
      <c r="I66" s="58"/>
      <c r="J66" s="51"/>
      <c r="K66" s="58"/>
      <c r="L66" s="56"/>
      <c r="M66" s="58"/>
      <c r="N66" s="42"/>
      <c r="O66" s="42"/>
      <c r="P66" s="61">
        <f t="shared" si="4"/>
        <v>0</v>
      </c>
      <c r="Q66" s="56"/>
      <c r="R66" s="61">
        <f t="shared" si="5"/>
        <v>0</v>
      </c>
    </row>
    <row r="67" spans="1:18">
      <c r="B67" s="43" t="s">
        <v>128</v>
      </c>
      <c r="C67" s="58"/>
      <c r="D67" s="56"/>
      <c r="E67" s="58"/>
      <c r="F67" s="51"/>
      <c r="G67" s="58"/>
      <c r="H67" s="56"/>
      <c r="I67" s="58"/>
      <c r="J67" s="51"/>
      <c r="K67" s="58"/>
      <c r="L67" s="56"/>
      <c r="M67" s="58"/>
      <c r="N67" s="42"/>
      <c r="O67" s="42"/>
      <c r="P67" s="61">
        <f t="shared" si="4"/>
        <v>0</v>
      </c>
      <c r="Q67" s="56"/>
      <c r="R67" s="61">
        <f t="shared" si="5"/>
        <v>0</v>
      </c>
    </row>
    <row r="68" spans="1:18">
      <c r="B68" s="43" t="s">
        <v>129</v>
      </c>
      <c r="C68" s="58"/>
      <c r="D68" s="56"/>
      <c r="E68" s="58"/>
      <c r="F68" s="51"/>
      <c r="G68" s="58"/>
      <c r="H68" s="56"/>
      <c r="I68" s="58"/>
      <c r="J68" s="51"/>
      <c r="K68" s="58"/>
      <c r="L68" s="56"/>
      <c r="M68" s="58"/>
      <c r="N68" s="42"/>
      <c r="O68" s="42"/>
      <c r="P68" s="61">
        <f t="shared" si="4"/>
        <v>0</v>
      </c>
      <c r="Q68" s="56"/>
      <c r="R68" s="61">
        <f t="shared" si="5"/>
        <v>0</v>
      </c>
    </row>
    <row r="69" spans="1:18">
      <c r="B69" s="43" t="s">
        <v>130</v>
      </c>
      <c r="C69" s="58"/>
      <c r="D69" s="56"/>
      <c r="E69" s="58"/>
      <c r="F69" s="51"/>
      <c r="G69" s="58"/>
      <c r="H69" s="56"/>
      <c r="I69" s="58"/>
      <c r="J69" s="51"/>
      <c r="K69" s="58"/>
      <c r="L69" s="56"/>
      <c r="M69" s="58"/>
      <c r="N69" s="42"/>
      <c r="O69" s="42"/>
      <c r="P69" s="61">
        <f t="shared" si="4"/>
        <v>0</v>
      </c>
      <c r="Q69" s="56"/>
      <c r="R69" s="61">
        <f t="shared" si="5"/>
        <v>0</v>
      </c>
    </row>
    <row r="70" spans="1:18">
      <c r="B70" s="43" t="s">
        <v>131</v>
      </c>
      <c r="C70" s="58"/>
      <c r="D70" s="56"/>
      <c r="E70" s="58"/>
      <c r="F70" s="51"/>
      <c r="G70" s="58"/>
      <c r="H70" s="56"/>
      <c r="I70" s="58"/>
      <c r="J70" s="51"/>
      <c r="K70" s="58"/>
      <c r="L70" s="56"/>
      <c r="M70" s="58"/>
      <c r="N70" s="42"/>
      <c r="O70" s="42"/>
      <c r="P70" s="61">
        <f t="shared" si="4"/>
        <v>0</v>
      </c>
      <c r="Q70" s="56"/>
      <c r="R70" s="61">
        <f t="shared" si="5"/>
        <v>0</v>
      </c>
    </row>
    <row r="71" spans="1:18">
      <c r="B71" s="43" t="s">
        <v>52</v>
      </c>
      <c r="C71" s="58"/>
      <c r="D71" s="56"/>
      <c r="E71" s="58"/>
      <c r="F71" s="51"/>
      <c r="G71" s="58"/>
      <c r="H71" s="56"/>
      <c r="I71" s="58"/>
      <c r="J71" s="51"/>
      <c r="K71" s="58"/>
      <c r="L71" s="56"/>
      <c r="M71" s="58"/>
      <c r="N71" s="42"/>
      <c r="O71" s="42"/>
      <c r="P71" s="61">
        <f t="shared" si="4"/>
        <v>0</v>
      </c>
      <c r="Q71" s="56"/>
      <c r="R71" s="61">
        <f t="shared" si="5"/>
        <v>0</v>
      </c>
    </row>
    <row r="72" spans="1:18">
      <c r="C72" s="56"/>
      <c r="D72" s="56"/>
      <c r="E72" s="56"/>
      <c r="F72" s="51"/>
      <c r="G72" s="56"/>
      <c r="H72" s="56"/>
      <c r="I72" s="56"/>
      <c r="J72" s="51"/>
      <c r="K72" s="56"/>
      <c r="L72" s="56"/>
      <c r="M72" s="56"/>
      <c r="N72" s="42"/>
      <c r="O72" s="42"/>
      <c r="P72" s="56"/>
      <c r="Q72" s="56"/>
      <c r="R72" s="56"/>
    </row>
    <row r="73" spans="1:18">
      <c r="B73" s="43" t="s">
        <v>187</v>
      </c>
      <c r="C73" s="61">
        <f>SUM(C58:C71)</f>
        <v>0</v>
      </c>
      <c r="D73" s="44"/>
      <c r="E73" s="61">
        <f>SUM(E58:E71)</f>
        <v>0</v>
      </c>
      <c r="F73" s="44"/>
      <c r="G73" s="61">
        <f>SUM(G58:G71)</f>
        <v>0</v>
      </c>
      <c r="H73" s="44"/>
      <c r="I73" s="61">
        <f>SUM(I58:I71)</f>
        <v>0</v>
      </c>
      <c r="J73" s="44"/>
      <c r="K73" s="61">
        <f>SUM(K58:K71)</f>
        <v>0</v>
      </c>
      <c r="L73"/>
      <c r="M73" s="61">
        <f>SUM(M58:M71)</f>
        <v>0</v>
      </c>
      <c r="N73"/>
      <c r="P73" s="61">
        <f>SUM(P58:P71)</f>
        <v>0</v>
      </c>
      <c r="Q73" s="56"/>
      <c r="R73" s="61">
        <f>SUM(R58:R71)</f>
        <v>0</v>
      </c>
    </row>
    <row r="74" spans="1:18">
      <c r="C74" s="48"/>
      <c r="D74" s="48"/>
      <c r="E74" s="48"/>
      <c r="F74" s="48"/>
      <c r="G74" s="48"/>
      <c r="H74" s="48"/>
      <c r="I74" s="48"/>
      <c r="J74" s="48"/>
      <c r="K74" s="48"/>
      <c r="L74"/>
      <c r="M74" s="48"/>
      <c r="N74" s="48"/>
      <c r="O74" s="48"/>
      <c r="P74" s="48"/>
      <c r="Q74" s="48"/>
      <c r="R74" s="48"/>
    </row>
    <row r="75" spans="1:18">
      <c r="A75" s="43" t="s">
        <v>21</v>
      </c>
      <c r="B75" s="57" t="s">
        <v>22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</row>
    <row r="76" spans="1:18" ht="12" customHeight="1">
      <c r="B76" s="57" t="s">
        <v>113</v>
      </c>
      <c r="C76" s="51"/>
      <c r="D76" s="51"/>
      <c r="E76" s="51"/>
      <c r="F76" s="51"/>
      <c r="G76" s="51"/>
      <c r="H76" s="51"/>
      <c r="I76" s="51"/>
      <c r="J76" s="51"/>
      <c r="K76" s="51"/>
      <c r="L76" s="42"/>
      <c r="M76" s="51"/>
      <c r="N76" s="42"/>
      <c r="O76" s="42"/>
      <c r="P76" s="51"/>
      <c r="Q76" s="42"/>
      <c r="R76" s="51"/>
    </row>
    <row r="77" spans="1:18" ht="12" customHeight="1">
      <c r="B77" s="43" t="s">
        <v>104</v>
      </c>
      <c r="C77" s="58"/>
      <c r="D77" s="56"/>
      <c r="E77" s="58"/>
      <c r="F77" s="51"/>
      <c r="G77" s="58"/>
      <c r="H77" s="56"/>
      <c r="I77" s="58"/>
      <c r="J77" s="51"/>
      <c r="K77" s="58"/>
      <c r="L77" s="56"/>
      <c r="M77" s="58"/>
      <c r="N77" s="42"/>
      <c r="O77" s="42"/>
      <c r="P77" s="61">
        <f t="shared" ref="P77:P90" si="6">C77+G77+K77</f>
        <v>0</v>
      </c>
      <c r="Q77" s="56"/>
      <c r="R77" s="61">
        <f t="shared" ref="R77:R90" si="7">E77+I77+M77</f>
        <v>0</v>
      </c>
    </row>
    <row r="78" spans="1:18" ht="12" customHeight="1">
      <c r="B78" s="43" t="s">
        <v>120</v>
      </c>
      <c r="C78" s="58"/>
      <c r="D78" s="56"/>
      <c r="E78" s="58"/>
      <c r="F78" s="51"/>
      <c r="G78" s="58"/>
      <c r="H78" s="56"/>
      <c r="I78" s="58"/>
      <c r="J78" s="51"/>
      <c r="K78" s="58"/>
      <c r="L78" s="56"/>
      <c r="M78" s="58"/>
      <c r="N78" s="42"/>
      <c r="O78" s="42"/>
      <c r="P78" s="61">
        <f t="shared" si="6"/>
        <v>0</v>
      </c>
      <c r="Q78" s="56"/>
      <c r="R78" s="61">
        <f t="shared" si="7"/>
        <v>0</v>
      </c>
    </row>
    <row r="79" spans="1:18">
      <c r="B79" s="43" t="s">
        <v>121</v>
      </c>
      <c r="C79" s="58"/>
      <c r="D79" s="56"/>
      <c r="E79" s="58"/>
      <c r="F79" s="51"/>
      <c r="G79" s="58"/>
      <c r="H79" s="56"/>
      <c r="I79" s="58"/>
      <c r="J79" s="51"/>
      <c r="K79" s="58"/>
      <c r="L79" s="56"/>
      <c r="M79" s="58"/>
      <c r="N79" s="42"/>
      <c r="O79" s="42"/>
      <c r="P79" s="61">
        <f t="shared" si="6"/>
        <v>0</v>
      </c>
      <c r="Q79" s="56"/>
      <c r="R79" s="61">
        <f t="shared" si="7"/>
        <v>0</v>
      </c>
    </row>
    <row r="80" spans="1:18">
      <c r="B80" s="59" t="s">
        <v>122</v>
      </c>
      <c r="C80" s="58"/>
      <c r="D80" s="56"/>
      <c r="E80" s="58"/>
      <c r="F80" s="51"/>
      <c r="G80" s="58"/>
      <c r="H80" s="56"/>
      <c r="I80" s="58"/>
      <c r="J80" s="51"/>
      <c r="K80" s="58"/>
      <c r="L80" s="56"/>
      <c r="M80" s="58"/>
      <c r="N80" s="42"/>
      <c r="O80" s="42"/>
      <c r="P80" s="61">
        <f t="shared" si="6"/>
        <v>0</v>
      </c>
      <c r="Q80" s="56"/>
      <c r="R80" s="61">
        <f t="shared" si="7"/>
        <v>0</v>
      </c>
    </row>
    <row r="81" spans="1:18">
      <c r="B81" s="43" t="s">
        <v>123</v>
      </c>
      <c r="C81" s="58"/>
      <c r="D81" s="56"/>
      <c r="E81" s="58"/>
      <c r="F81" s="51"/>
      <c r="G81" s="58"/>
      <c r="H81" s="56"/>
      <c r="I81" s="58"/>
      <c r="J81" s="51"/>
      <c r="K81" s="58"/>
      <c r="L81" s="56"/>
      <c r="M81" s="58"/>
      <c r="N81" s="42"/>
      <c r="O81" s="42"/>
      <c r="P81" s="61">
        <f t="shared" si="6"/>
        <v>0</v>
      </c>
      <c r="Q81" s="56"/>
      <c r="R81" s="61">
        <f t="shared" si="7"/>
        <v>0</v>
      </c>
    </row>
    <row r="82" spans="1:18">
      <c r="B82" s="43" t="s">
        <v>124</v>
      </c>
      <c r="C82" s="58"/>
      <c r="D82" s="56"/>
      <c r="E82" s="58"/>
      <c r="F82" s="51"/>
      <c r="G82" s="58"/>
      <c r="H82" s="56"/>
      <c r="I82" s="58"/>
      <c r="J82" s="51"/>
      <c r="K82" s="58"/>
      <c r="L82" s="56"/>
      <c r="M82" s="58"/>
      <c r="N82" s="42"/>
      <c r="O82" s="42"/>
      <c r="P82" s="61">
        <f t="shared" si="6"/>
        <v>0</v>
      </c>
      <c r="Q82" s="56"/>
      <c r="R82" s="61">
        <f t="shared" si="7"/>
        <v>0</v>
      </c>
    </row>
    <row r="83" spans="1:18">
      <c r="B83" s="43" t="s">
        <v>125</v>
      </c>
      <c r="C83" s="58"/>
      <c r="D83" s="56"/>
      <c r="E83" s="58"/>
      <c r="F83" s="51"/>
      <c r="G83" s="58"/>
      <c r="H83" s="56"/>
      <c r="I83" s="58"/>
      <c r="J83" s="51"/>
      <c r="K83" s="58"/>
      <c r="L83" s="56"/>
      <c r="M83" s="58"/>
      <c r="N83" s="42"/>
      <c r="O83" s="42"/>
      <c r="P83" s="61">
        <f t="shared" si="6"/>
        <v>0</v>
      </c>
      <c r="Q83" s="56"/>
      <c r="R83" s="61">
        <f t="shared" si="7"/>
        <v>0</v>
      </c>
    </row>
    <row r="84" spans="1:18">
      <c r="B84" s="43" t="s">
        <v>126</v>
      </c>
      <c r="C84" s="58"/>
      <c r="D84" s="56"/>
      <c r="E84" s="58"/>
      <c r="F84" s="51"/>
      <c r="G84" s="58"/>
      <c r="H84" s="56"/>
      <c r="I84" s="58"/>
      <c r="J84" s="51"/>
      <c r="K84" s="58"/>
      <c r="L84" s="56"/>
      <c r="M84" s="58"/>
      <c r="N84" s="42"/>
      <c r="O84" s="42"/>
      <c r="P84" s="61">
        <f t="shared" si="6"/>
        <v>0</v>
      </c>
      <c r="Q84" s="56"/>
      <c r="R84" s="61">
        <f t="shared" si="7"/>
        <v>0</v>
      </c>
    </row>
    <row r="85" spans="1:18">
      <c r="B85" s="43" t="s">
        <v>127</v>
      </c>
      <c r="C85" s="58"/>
      <c r="D85" s="56"/>
      <c r="E85" s="58"/>
      <c r="F85" s="51"/>
      <c r="G85" s="58"/>
      <c r="H85" s="56"/>
      <c r="I85" s="58"/>
      <c r="J85" s="51"/>
      <c r="K85" s="58"/>
      <c r="L85" s="56"/>
      <c r="M85" s="58"/>
      <c r="N85" s="42"/>
      <c r="O85" s="42"/>
      <c r="P85" s="61">
        <f t="shared" si="6"/>
        <v>0</v>
      </c>
      <c r="Q85" s="56"/>
      <c r="R85" s="61">
        <f t="shared" si="7"/>
        <v>0</v>
      </c>
    </row>
    <row r="86" spans="1:18">
      <c r="B86" s="43" t="s">
        <v>128</v>
      </c>
      <c r="C86" s="58"/>
      <c r="D86" s="56"/>
      <c r="E86" s="58"/>
      <c r="F86" s="51"/>
      <c r="G86" s="58"/>
      <c r="H86" s="56"/>
      <c r="I86" s="58"/>
      <c r="J86" s="51"/>
      <c r="K86" s="58"/>
      <c r="L86" s="56"/>
      <c r="M86" s="58"/>
      <c r="N86" s="42"/>
      <c r="O86" s="42"/>
      <c r="P86" s="61">
        <f t="shared" si="6"/>
        <v>0</v>
      </c>
      <c r="Q86" s="56"/>
      <c r="R86" s="61">
        <f t="shared" si="7"/>
        <v>0</v>
      </c>
    </row>
    <row r="87" spans="1:18">
      <c r="B87" s="43" t="s">
        <v>129</v>
      </c>
      <c r="C87" s="58"/>
      <c r="D87" s="56"/>
      <c r="E87" s="58"/>
      <c r="F87" s="51"/>
      <c r="G87" s="58"/>
      <c r="H87" s="56"/>
      <c r="I87" s="58"/>
      <c r="J87" s="51"/>
      <c r="K87" s="58"/>
      <c r="L87" s="56"/>
      <c r="M87" s="58"/>
      <c r="N87" s="42"/>
      <c r="O87" s="42"/>
      <c r="P87" s="61">
        <f t="shared" si="6"/>
        <v>0</v>
      </c>
      <c r="Q87" s="56"/>
      <c r="R87" s="61">
        <f t="shared" si="7"/>
        <v>0</v>
      </c>
    </row>
    <row r="88" spans="1:18">
      <c r="B88" s="43" t="s">
        <v>130</v>
      </c>
      <c r="C88" s="58"/>
      <c r="D88" s="56"/>
      <c r="E88" s="58"/>
      <c r="F88" s="51"/>
      <c r="G88" s="58"/>
      <c r="H88" s="56"/>
      <c r="I88" s="58"/>
      <c r="J88" s="51"/>
      <c r="K88" s="58"/>
      <c r="L88" s="56"/>
      <c r="M88" s="58"/>
      <c r="N88" s="42"/>
      <c r="O88" s="42"/>
      <c r="P88" s="61">
        <f t="shared" si="6"/>
        <v>0</v>
      </c>
      <c r="Q88" s="56"/>
      <c r="R88" s="61">
        <f t="shared" si="7"/>
        <v>0</v>
      </c>
    </row>
    <row r="89" spans="1:18">
      <c r="B89" s="43" t="s">
        <v>131</v>
      </c>
      <c r="C89" s="58"/>
      <c r="D89" s="56"/>
      <c r="E89" s="58"/>
      <c r="F89" s="51"/>
      <c r="G89" s="58"/>
      <c r="H89" s="56"/>
      <c r="I89" s="58"/>
      <c r="J89" s="51"/>
      <c r="K89" s="58"/>
      <c r="L89" s="56"/>
      <c r="M89" s="58"/>
      <c r="N89" s="42"/>
      <c r="O89" s="42"/>
      <c r="P89" s="61">
        <f t="shared" si="6"/>
        <v>0</v>
      </c>
      <c r="Q89" s="56"/>
      <c r="R89" s="61">
        <f t="shared" si="7"/>
        <v>0</v>
      </c>
    </row>
    <row r="90" spans="1:18">
      <c r="B90" s="43" t="s">
        <v>52</v>
      </c>
      <c r="C90" s="58"/>
      <c r="D90" s="56"/>
      <c r="E90" s="58"/>
      <c r="F90" s="51"/>
      <c r="G90" s="58"/>
      <c r="H90" s="56"/>
      <c r="I90" s="58"/>
      <c r="J90" s="51"/>
      <c r="K90" s="58"/>
      <c r="L90" s="56"/>
      <c r="M90" s="58"/>
      <c r="N90" s="42"/>
      <c r="O90" s="42"/>
      <c r="P90" s="61">
        <f t="shared" si="6"/>
        <v>0</v>
      </c>
      <c r="Q90" s="56"/>
      <c r="R90" s="61">
        <f t="shared" si="7"/>
        <v>0</v>
      </c>
    </row>
    <row r="91" spans="1:18">
      <c r="C91" s="56"/>
      <c r="D91" s="56"/>
      <c r="E91" s="56"/>
      <c r="F91" s="51"/>
      <c r="G91" s="56"/>
      <c r="H91" s="56"/>
      <c r="I91" s="56"/>
      <c r="J91" s="51"/>
      <c r="K91" s="56"/>
      <c r="L91" s="56"/>
      <c r="M91" s="56"/>
      <c r="N91" s="42"/>
      <c r="O91" s="42"/>
      <c r="P91" s="56"/>
      <c r="Q91" s="56"/>
      <c r="R91" s="56"/>
    </row>
    <row r="92" spans="1:18">
      <c r="B92" s="43" t="s">
        <v>187</v>
      </c>
      <c r="C92" s="61">
        <f>SUM(C77:C90)</f>
        <v>0</v>
      </c>
      <c r="D92" s="44"/>
      <c r="E92" s="61">
        <f>SUM(E77:E90)</f>
        <v>0</v>
      </c>
      <c r="F92" s="44"/>
      <c r="G92" s="61">
        <f>SUM(G77:G90)</f>
        <v>0</v>
      </c>
      <c r="H92" s="44"/>
      <c r="I92" s="61">
        <f>SUM(I77:I90)</f>
        <v>0</v>
      </c>
      <c r="J92" s="44"/>
      <c r="K92" s="61">
        <f>SUM(K77:K90)</f>
        <v>0</v>
      </c>
      <c r="L92"/>
      <c r="M92" s="61">
        <f>SUM(M77:M90)</f>
        <v>0</v>
      </c>
      <c r="N92"/>
      <c r="P92" s="61">
        <f>SUM(P77:P90)</f>
        <v>0</v>
      </c>
      <c r="Q92" s="56"/>
      <c r="R92" s="61">
        <f>SUM(R77:R90)</f>
        <v>0</v>
      </c>
    </row>
    <row r="94" spans="1:18">
      <c r="A94" s="43" t="s">
        <v>23</v>
      </c>
      <c r="B94" s="57" t="s">
        <v>24</v>
      </c>
      <c r="C94" s="51"/>
      <c r="D94" s="51"/>
      <c r="E94" s="51"/>
      <c r="F94" s="51"/>
      <c r="G94" s="51"/>
      <c r="H94" s="51"/>
      <c r="I94" s="51"/>
      <c r="J94" s="51"/>
      <c r="K94" s="51"/>
      <c r="L94" s="42"/>
      <c r="M94" s="51"/>
      <c r="N94" s="42"/>
      <c r="O94" s="42"/>
      <c r="P94" s="51"/>
      <c r="Q94" s="42"/>
      <c r="R94" s="51"/>
    </row>
    <row r="95" spans="1:18">
      <c r="B95" s="43" t="s">
        <v>104</v>
      </c>
      <c r="C95" s="58"/>
      <c r="D95" s="56"/>
      <c r="E95" s="58"/>
      <c r="F95" s="51"/>
      <c r="G95" s="58"/>
      <c r="H95" s="56"/>
      <c r="I95" s="58"/>
      <c r="J95" s="51"/>
      <c r="K95" s="58"/>
      <c r="L95" s="56"/>
      <c r="M95" s="58"/>
      <c r="N95" s="42"/>
      <c r="O95" s="42"/>
      <c r="P95" s="61">
        <f t="shared" ref="P95:P108" si="8">C95+G95+K95</f>
        <v>0</v>
      </c>
      <c r="Q95" s="42"/>
      <c r="R95" s="61">
        <f t="shared" ref="R95:R108" si="9">E95+I95+M95</f>
        <v>0</v>
      </c>
    </row>
    <row r="96" spans="1:18">
      <c r="B96" s="43" t="s">
        <v>120</v>
      </c>
      <c r="C96" s="58"/>
      <c r="D96" s="56"/>
      <c r="E96" s="58"/>
      <c r="F96" s="51"/>
      <c r="G96" s="58"/>
      <c r="H96" s="56"/>
      <c r="I96" s="58"/>
      <c r="J96" s="51"/>
      <c r="K96" s="58"/>
      <c r="L96" s="56"/>
      <c r="M96" s="58"/>
      <c r="N96" s="42"/>
      <c r="O96" s="42"/>
      <c r="P96" s="61">
        <f t="shared" si="8"/>
        <v>0</v>
      </c>
      <c r="Q96" s="56"/>
      <c r="R96" s="61">
        <f t="shared" si="9"/>
        <v>0</v>
      </c>
    </row>
    <row r="97" spans="2:18">
      <c r="B97" s="43" t="s">
        <v>121</v>
      </c>
      <c r="C97" s="58"/>
      <c r="D97" s="56"/>
      <c r="E97" s="58"/>
      <c r="F97" s="51"/>
      <c r="G97" s="58"/>
      <c r="H97" s="56"/>
      <c r="I97" s="58"/>
      <c r="J97" s="51"/>
      <c r="K97" s="58"/>
      <c r="L97" s="56"/>
      <c r="M97" s="58"/>
      <c r="N97" s="42"/>
      <c r="O97" s="42"/>
      <c r="P97" s="61">
        <f t="shared" si="8"/>
        <v>0</v>
      </c>
      <c r="Q97" s="42"/>
      <c r="R97" s="61">
        <f t="shared" si="9"/>
        <v>0</v>
      </c>
    </row>
    <row r="98" spans="2:18">
      <c r="B98" s="59" t="s">
        <v>122</v>
      </c>
      <c r="C98" s="58"/>
      <c r="D98" s="56"/>
      <c r="E98" s="58"/>
      <c r="F98" s="51"/>
      <c r="G98" s="58"/>
      <c r="H98" s="56"/>
      <c r="I98" s="58"/>
      <c r="J98" s="51"/>
      <c r="K98" s="58"/>
      <c r="L98" s="56"/>
      <c r="M98" s="58"/>
      <c r="N98" s="42"/>
      <c r="O98" s="42"/>
      <c r="P98" s="61">
        <f t="shared" si="8"/>
        <v>0</v>
      </c>
      <c r="Q98" s="42"/>
      <c r="R98" s="61">
        <f t="shared" si="9"/>
        <v>0</v>
      </c>
    </row>
    <row r="99" spans="2:18">
      <c r="B99" s="43" t="s">
        <v>123</v>
      </c>
      <c r="C99" s="58"/>
      <c r="D99" s="56"/>
      <c r="E99" s="58"/>
      <c r="F99" s="51"/>
      <c r="G99" s="58"/>
      <c r="H99" s="56"/>
      <c r="I99" s="58"/>
      <c r="J99" s="51"/>
      <c r="K99" s="58"/>
      <c r="L99" s="56"/>
      <c r="M99" s="58"/>
      <c r="N99" s="42"/>
      <c r="O99" s="42"/>
      <c r="P99" s="61">
        <f t="shared" si="8"/>
        <v>0</v>
      </c>
      <c r="Q99" s="42"/>
      <c r="R99" s="61">
        <f t="shared" si="9"/>
        <v>0</v>
      </c>
    </row>
    <row r="100" spans="2:18">
      <c r="B100" s="43" t="s">
        <v>124</v>
      </c>
      <c r="C100" s="58"/>
      <c r="D100" s="56"/>
      <c r="E100" s="58"/>
      <c r="F100" s="51"/>
      <c r="G100" s="58"/>
      <c r="H100" s="56"/>
      <c r="I100" s="58"/>
      <c r="J100" s="51"/>
      <c r="K100" s="58"/>
      <c r="L100" s="56"/>
      <c r="M100" s="58"/>
      <c r="N100" s="42"/>
      <c r="O100" s="42"/>
      <c r="P100" s="61">
        <f t="shared" si="8"/>
        <v>0</v>
      </c>
      <c r="Q100" s="42"/>
      <c r="R100" s="61">
        <f t="shared" si="9"/>
        <v>0</v>
      </c>
    </row>
    <row r="101" spans="2:18">
      <c r="B101" s="43" t="s">
        <v>125</v>
      </c>
      <c r="C101" s="58"/>
      <c r="D101" s="56"/>
      <c r="E101" s="58"/>
      <c r="F101" s="51"/>
      <c r="G101" s="58"/>
      <c r="H101" s="56"/>
      <c r="I101" s="58"/>
      <c r="J101" s="51"/>
      <c r="K101" s="58"/>
      <c r="L101" s="56"/>
      <c r="M101" s="58"/>
      <c r="N101" s="42"/>
      <c r="O101" s="42"/>
      <c r="P101" s="61">
        <f t="shared" si="8"/>
        <v>0</v>
      </c>
      <c r="Q101" s="56"/>
      <c r="R101" s="61">
        <f t="shared" si="9"/>
        <v>0</v>
      </c>
    </row>
    <row r="102" spans="2:18">
      <c r="B102" s="43" t="s">
        <v>126</v>
      </c>
      <c r="C102" s="58"/>
      <c r="D102" s="56"/>
      <c r="E102" s="58"/>
      <c r="F102" s="51"/>
      <c r="G102" s="58"/>
      <c r="H102" s="56"/>
      <c r="I102" s="58"/>
      <c r="J102" s="51"/>
      <c r="K102" s="58"/>
      <c r="L102" s="56"/>
      <c r="M102" s="58"/>
      <c r="N102" s="42"/>
      <c r="O102" s="42"/>
      <c r="P102" s="61">
        <f t="shared" si="8"/>
        <v>0</v>
      </c>
      <c r="Q102" s="56"/>
      <c r="R102" s="61">
        <f t="shared" si="9"/>
        <v>0</v>
      </c>
    </row>
    <row r="103" spans="2:18">
      <c r="B103" s="43" t="s">
        <v>127</v>
      </c>
      <c r="C103" s="58"/>
      <c r="D103" s="56"/>
      <c r="E103" s="58"/>
      <c r="F103" s="51"/>
      <c r="G103" s="58"/>
      <c r="H103" s="56"/>
      <c r="I103" s="58"/>
      <c r="J103" s="51"/>
      <c r="K103" s="58"/>
      <c r="L103" s="56"/>
      <c r="M103" s="58"/>
      <c r="N103" s="42"/>
      <c r="O103" s="42"/>
      <c r="P103" s="61">
        <f t="shared" si="8"/>
        <v>0</v>
      </c>
      <c r="Q103" s="56"/>
      <c r="R103" s="61">
        <f t="shared" si="9"/>
        <v>0</v>
      </c>
    </row>
    <row r="104" spans="2:18">
      <c r="B104" s="43" t="s">
        <v>128</v>
      </c>
      <c r="C104" s="58"/>
      <c r="D104" s="56"/>
      <c r="E104" s="58"/>
      <c r="F104" s="51"/>
      <c r="G104" s="58"/>
      <c r="H104" s="56"/>
      <c r="I104" s="58"/>
      <c r="J104" s="51"/>
      <c r="K104" s="58"/>
      <c r="L104" s="56"/>
      <c r="M104" s="58"/>
      <c r="N104" s="42"/>
      <c r="O104" s="42"/>
      <c r="P104" s="61">
        <f t="shared" si="8"/>
        <v>0</v>
      </c>
      <c r="Q104" s="56"/>
      <c r="R104" s="61">
        <f t="shared" si="9"/>
        <v>0</v>
      </c>
    </row>
    <row r="105" spans="2:18">
      <c r="B105" s="43" t="s">
        <v>129</v>
      </c>
      <c r="C105" s="58"/>
      <c r="D105" s="56"/>
      <c r="E105" s="58"/>
      <c r="F105" s="51"/>
      <c r="G105" s="58"/>
      <c r="H105" s="56"/>
      <c r="I105" s="58"/>
      <c r="J105" s="51"/>
      <c r="K105" s="58"/>
      <c r="L105" s="56"/>
      <c r="M105" s="58"/>
      <c r="N105" s="42"/>
      <c r="O105" s="42"/>
      <c r="P105" s="61">
        <f t="shared" si="8"/>
        <v>0</v>
      </c>
      <c r="Q105" s="56"/>
      <c r="R105" s="61">
        <f t="shared" si="9"/>
        <v>0</v>
      </c>
    </row>
    <row r="106" spans="2:18">
      <c r="B106" s="43" t="s">
        <v>130</v>
      </c>
      <c r="C106" s="58"/>
      <c r="D106" s="56"/>
      <c r="E106" s="58"/>
      <c r="F106" s="51"/>
      <c r="G106" s="58"/>
      <c r="H106" s="56"/>
      <c r="I106" s="58"/>
      <c r="J106" s="51"/>
      <c r="K106" s="58"/>
      <c r="L106" s="56"/>
      <c r="M106" s="58"/>
      <c r="N106" s="42"/>
      <c r="O106" s="42"/>
      <c r="P106" s="61">
        <f t="shared" si="8"/>
        <v>0</v>
      </c>
      <c r="Q106" s="56"/>
      <c r="R106" s="61">
        <f t="shared" si="9"/>
        <v>0</v>
      </c>
    </row>
    <row r="107" spans="2:18">
      <c r="B107" s="43" t="s">
        <v>131</v>
      </c>
      <c r="C107" s="58"/>
      <c r="D107" s="56"/>
      <c r="E107" s="58"/>
      <c r="F107" s="51"/>
      <c r="G107" s="58"/>
      <c r="H107" s="56"/>
      <c r="I107" s="58"/>
      <c r="J107" s="51"/>
      <c r="K107" s="58"/>
      <c r="L107" s="56"/>
      <c r="M107" s="58"/>
      <c r="N107" s="42"/>
      <c r="O107" s="42"/>
      <c r="P107" s="61">
        <f t="shared" si="8"/>
        <v>0</v>
      </c>
      <c r="Q107" s="56"/>
      <c r="R107" s="61">
        <f t="shared" si="9"/>
        <v>0</v>
      </c>
    </row>
    <row r="108" spans="2:18">
      <c r="B108" s="43" t="s">
        <v>52</v>
      </c>
      <c r="C108" s="58"/>
      <c r="D108" s="56"/>
      <c r="E108" s="58"/>
      <c r="F108" s="51"/>
      <c r="G108" s="58"/>
      <c r="H108" s="56"/>
      <c r="I108" s="58"/>
      <c r="J108" s="51"/>
      <c r="K108" s="58"/>
      <c r="L108" s="56"/>
      <c r="M108" s="58"/>
      <c r="N108" s="42"/>
      <c r="O108" s="42"/>
      <c r="P108" s="61">
        <f t="shared" si="8"/>
        <v>0</v>
      </c>
      <c r="Q108" s="56"/>
      <c r="R108" s="61">
        <f t="shared" si="9"/>
        <v>0</v>
      </c>
    </row>
    <row r="109" spans="2:18">
      <c r="C109" s="56"/>
      <c r="D109" s="56"/>
      <c r="E109" s="56"/>
      <c r="F109" s="51"/>
      <c r="G109" s="56"/>
      <c r="H109" s="51"/>
      <c r="I109" s="56"/>
      <c r="J109" s="51"/>
      <c r="K109" s="56"/>
      <c r="L109" s="56"/>
      <c r="M109" s="56"/>
      <c r="N109" s="42"/>
      <c r="O109" s="42"/>
      <c r="P109" s="56"/>
      <c r="Q109" s="56"/>
      <c r="R109" s="56"/>
    </row>
    <row r="110" spans="2:18">
      <c r="B110" s="43" t="s">
        <v>187</v>
      </c>
      <c r="C110" s="61">
        <f>SUM(C95:C108)</f>
        <v>0</v>
      </c>
      <c r="D110" s="44"/>
      <c r="E110" s="61">
        <f>SUM(E95:E108)</f>
        <v>0</v>
      </c>
      <c r="F110" s="44"/>
      <c r="G110" s="61">
        <f>SUM(G95:G108)</f>
        <v>0</v>
      </c>
      <c r="H110" s="44"/>
      <c r="I110" s="61">
        <f>SUM(I95:I108)</f>
        <v>0</v>
      </c>
      <c r="J110" s="44"/>
      <c r="K110" s="61">
        <f>SUM(K95:K108)</f>
        <v>0</v>
      </c>
      <c r="L110"/>
      <c r="M110" s="61">
        <f>SUM(M95:M108)</f>
        <v>0</v>
      </c>
      <c r="N110"/>
      <c r="P110" s="61">
        <f>SUM(P95:P108)</f>
        <v>0</v>
      </c>
      <c r="Q110" s="56"/>
      <c r="R110" s="61">
        <f>SUM(R95:R108)</f>
        <v>0</v>
      </c>
    </row>
    <row r="112" spans="2:18">
      <c r="B112" s="45" t="s">
        <v>26</v>
      </c>
      <c r="C112" s="69">
        <f>SUM(C35+C54+C73+C92+C110)</f>
        <v>0</v>
      </c>
      <c r="D112" s="53"/>
      <c r="E112" s="69">
        <f>SUM(E35+E54+E73+E92+E110)</f>
        <v>0</v>
      </c>
      <c r="F112" s="53"/>
      <c r="G112" s="69">
        <f>SUM(G35+G54+G73+G92+G110)</f>
        <v>0</v>
      </c>
      <c r="H112" s="53"/>
      <c r="I112" s="69">
        <f>SUM(I35+I54+I73+I92+I110)</f>
        <v>0</v>
      </c>
      <c r="J112" s="53"/>
      <c r="K112" s="69">
        <f>SUM(K35+K54+K73+K92+K110)</f>
        <v>0</v>
      </c>
      <c r="L112" s="53"/>
      <c r="M112" s="69">
        <f>SUM(M35+M54+M73+M92+M110)</f>
        <v>0</v>
      </c>
      <c r="N112" s="53"/>
      <c r="O112" s="53"/>
      <c r="P112" s="69">
        <f>SUM(P35+P54+P73+P92+P110)</f>
        <v>0</v>
      </c>
      <c r="Q112" s="53"/>
      <c r="R112" s="69">
        <f>SUM(R35+R54+R73+R92+R110)</f>
        <v>0</v>
      </c>
    </row>
    <row r="113" spans="22:25">
      <c r="V113" s="43" t="s">
        <v>25</v>
      </c>
      <c r="W113" s="43" t="s">
        <v>25</v>
      </c>
      <c r="X113" s="43" t="s">
        <v>25</v>
      </c>
      <c r="Y113" s="43" t="s">
        <v>25</v>
      </c>
    </row>
    <row r="114" spans="22:25">
      <c r="V114" s="43" t="s">
        <v>25</v>
      </c>
      <c r="W114" s="43" t="s">
        <v>25</v>
      </c>
      <c r="X114" s="43" t="s">
        <v>25</v>
      </c>
      <c r="Y114" s="43" t="s">
        <v>25</v>
      </c>
    </row>
  </sheetData>
  <sheetProtection algorithmName="SHA-512" hashValue="dUJxoi77Y36Sceftpc+QG2MN/aAJh87DALKfXCwHk2dCyG4o9OpzhTCJrBhP5fxijdWqZqqRsJ3lSU70etIAvA==" saltValue="ozY/St4uy49iX+igFIV+lQ==" spinCount="100000" sheet="1" selectLockedCells="1"/>
  <customSheetViews>
    <customSheetView guid="{6BAB6937-F4A7-406E-B6D7-F3AB26E9CB76}" showPageBreaks="1" showGridLines="0" printArea="1" topLeftCell="A92">
      <selection activeCell="X111" sqref="X111"/>
      <rowBreaks count="1" manualBreakCount="1">
        <brk id="74" max="18" man="1"/>
      </rowBreaks>
      <pageMargins left="0" right="0" top="0.56999999999999995" bottom="1.1499999999999999" header="0.17" footer="0.28000000000000003"/>
      <printOptions horizontalCentered="1"/>
      <pageSetup paperSize="9" scale="72" orientation="portrait" r:id="rId1"/>
      <headerFooter alignWithMargins="0"/>
    </customSheetView>
    <customSheetView guid="{6FD7F56A-E857-4CED-A5A1-7DEC8753A8FB}" showGridLines="0" topLeftCell="A92">
      <selection activeCell="X111" sqref="X111"/>
      <rowBreaks count="1" manualBreakCount="1">
        <brk id="74" max="18" man="1"/>
      </rowBreaks>
      <pageMargins left="0" right="0" top="0.56999999999999995" bottom="1.1499999999999999" header="0.17" footer="0.28000000000000003"/>
      <printOptions horizontalCentered="1"/>
      <pageSetup paperSize="9" scale="72" orientation="portrait" r:id="rId2"/>
      <headerFooter alignWithMargins="0"/>
    </customSheetView>
    <customSheetView guid="{91D31259-BF8C-4449-A829-EAD5467CE226}" showGridLines="0" topLeftCell="A92">
      <selection activeCell="X111" sqref="X111"/>
      <rowBreaks count="1" manualBreakCount="1">
        <brk id="74" max="18" man="1"/>
      </rowBreaks>
      <pageMargins left="0" right="0" top="0.56999999999999995" bottom="1.1499999999999999" header="0.17" footer="0.28000000000000003"/>
      <printOptions horizontalCentered="1"/>
      <pageSetup paperSize="9" scale="72" orientation="portrait" r:id="rId3"/>
      <headerFooter alignWithMargins="0"/>
    </customSheetView>
  </customSheetViews>
  <dataValidations count="1">
    <dataValidation type="decimal" allowBlank="1" showInputMessage="1" showErrorMessage="1" errorTitle="Validation Error" error="Incorrect data type (numers/decimals only)" sqref="C55:M72 C36:M53 C77:M91 C93:M109 L75:L76 M74:M76 C74:K76 C20:M34" xr:uid="{00000000-0002-0000-0900-000000000000}">
      <formula1>0</formula1>
      <formula2>9.99999999999999E+35</formula2>
    </dataValidation>
  </dataValidations>
  <printOptions horizontalCentered="1" gridLinesSet="0"/>
  <pageMargins left="0" right="0" top="0.56999999999999995" bottom="1.1499999999999999" header="0.17" footer="0.28000000000000003"/>
  <pageSetup paperSize="9" scale="72" orientation="portrait" r:id="rId4"/>
  <headerFooter alignWithMargins="0"/>
  <rowBreaks count="1" manualBreakCount="1">
    <brk id="74" max="18" man="1"/>
  </rowBreaks>
  <ignoredErrors>
    <ignoredError sqref="P20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A2:Y113"/>
  <sheetViews>
    <sheetView showGridLines="0" zoomScaleNormal="100" workbookViewId="0">
      <selection activeCell="C58" sqref="C58"/>
    </sheetView>
  </sheetViews>
  <sheetFormatPr defaultColWidth="8.85546875" defaultRowHeight="12.75"/>
  <cols>
    <col min="1" max="1" width="2" style="43" customWidth="1"/>
    <col min="2" max="2" width="16.85546875" style="43" customWidth="1"/>
    <col min="3" max="3" width="5.85546875" style="43" customWidth="1"/>
    <col min="4" max="4" width="1.85546875" style="43" customWidth="1"/>
    <col min="5" max="5" width="9.85546875" style="43" customWidth="1"/>
    <col min="6" max="6" width="1.85546875" style="43" customWidth="1"/>
    <col min="7" max="7" width="5.85546875" style="43" customWidth="1"/>
    <col min="8" max="8" width="1.85546875" style="43" customWidth="1"/>
    <col min="9" max="9" width="9.85546875" style="43" customWidth="1"/>
    <col min="10" max="10" width="1.5703125" style="43" customWidth="1"/>
    <col min="11" max="11" width="5.85546875" style="43" customWidth="1"/>
    <col min="12" max="12" width="1.85546875" style="43" customWidth="1"/>
    <col min="13" max="13" width="9.85546875" style="43" customWidth="1"/>
    <col min="14" max="15" width="1.85546875" style="43" customWidth="1"/>
    <col min="16" max="16" width="5.85546875" style="43" customWidth="1"/>
    <col min="17" max="17" width="1.85546875" style="43" customWidth="1"/>
    <col min="18" max="18" width="10.85546875" style="43" customWidth="1"/>
    <col min="19" max="16384" width="8.85546875" style="43"/>
  </cols>
  <sheetData>
    <row r="2" spans="1:18">
      <c r="A2" s="46"/>
      <c r="B2" s="47"/>
      <c r="C2" s="47"/>
      <c r="D2" s="47"/>
      <c r="E2" s="47"/>
      <c r="F2" s="47"/>
      <c r="G2" s="47"/>
      <c r="H2" s="47"/>
      <c r="I2" s="48"/>
      <c r="J2" s="48"/>
      <c r="K2" s="47"/>
      <c r="L2" s="47"/>
      <c r="M2" s="47"/>
      <c r="N2" s="47"/>
      <c r="O2" s="47"/>
      <c r="P2" s="47"/>
      <c r="Q2" s="47"/>
      <c r="R2" s="46" t="s">
        <v>191</v>
      </c>
    </row>
    <row r="3" spans="1:18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15.75">
      <c r="A4" s="87" t="s">
        <v>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</row>
    <row r="5" spans="1:18" ht="15.75">
      <c r="A5" s="88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5.75">
      <c r="A6" s="87" t="s">
        <v>150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</row>
    <row r="7" spans="1:18" ht="15.75">
      <c r="A7" s="88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</row>
    <row r="8" spans="1:18" ht="15.75">
      <c r="A8" s="87" t="s">
        <v>67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10" spans="1:18">
      <c r="B10" s="50"/>
      <c r="C10" s="51"/>
    </row>
    <row r="11" spans="1:18">
      <c r="D11" s="53"/>
      <c r="F11" s="44"/>
      <c r="H11" s="53"/>
      <c r="I11" s="44"/>
      <c r="J11" s="44"/>
      <c r="L11" s="53"/>
      <c r="M11" s="44"/>
      <c r="N11" s="44"/>
      <c r="O11" s="47"/>
      <c r="P11" s="52" t="s">
        <v>90</v>
      </c>
      <c r="Q11" s="52"/>
      <c r="R11" s="47"/>
    </row>
    <row r="12" spans="1:18">
      <c r="A12" s="45" t="s">
        <v>4</v>
      </c>
      <c r="B12" s="45" t="s">
        <v>62</v>
      </c>
      <c r="C12" s="52"/>
      <c r="D12" s="52"/>
      <c r="E12" s="53" t="s">
        <v>59</v>
      </c>
      <c r="F12" s="47"/>
      <c r="G12" s="52"/>
      <c r="H12" s="52"/>
      <c r="I12" s="53" t="s">
        <v>60</v>
      </c>
      <c r="J12" s="47"/>
      <c r="K12" s="52"/>
      <c r="L12" s="52"/>
      <c r="M12" s="53" t="s">
        <v>61</v>
      </c>
      <c r="N12" s="47"/>
      <c r="O12" s="47"/>
      <c r="P12" s="52" t="s">
        <v>8</v>
      </c>
      <c r="Q12" s="52"/>
      <c r="R12" s="47"/>
    </row>
    <row r="13" spans="1:18">
      <c r="C13" s="52"/>
      <c r="D13" s="52"/>
      <c r="E13" s="47"/>
      <c r="F13" s="47"/>
      <c r="G13" s="52"/>
      <c r="H13" s="52"/>
      <c r="I13" s="47"/>
      <c r="J13" s="47"/>
      <c r="K13" s="52"/>
      <c r="L13" s="52"/>
      <c r="M13" s="47"/>
      <c r="N13" s="47"/>
      <c r="O13" s="47"/>
      <c r="P13" s="52" t="s">
        <v>11</v>
      </c>
      <c r="Q13" s="52"/>
      <c r="R13" s="47"/>
    </row>
    <row r="15" spans="1:18">
      <c r="C15" s="48" t="s">
        <v>12</v>
      </c>
      <c r="D15" s="48"/>
      <c r="E15" s="44" t="s">
        <v>13</v>
      </c>
      <c r="F15" s="48"/>
      <c r="G15" s="48" t="s">
        <v>12</v>
      </c>
      <c r="H15" s="48"/>
      <c r="I15" s="44" t="s">
        <v>13</v>
      </c>
      <c r="J15" s="48"/>
      <c r="K15" s="48" t="s">
        <v>12</v>
      </c>
      <c r="L15" s="48"/>
      <c r="M15" s="44" t="s">
        <v>13</v>
      </c>
      <c r="N15" s="48"/>
      <c r="O15" s="48"/>
      <c r="P15" s="48" t="s">
        <v>12</v>
      </c>
      <c r="Q15" s="48"/>
      <c r="R15" s="44" t="s">
        <v>13</v>
      </c>
    </row>
    <row r="16" spans="1:18">
      <c r="C16" s="48"/>
      <c r="D16" s="48"/>
      <c r="E16" s="54" t="s">
        <v>14</v>
      </c>
      <c r="F16" s="55"/>
      <c r="G16" s="48"/>
      <c r="H16" s="48"/>
      <c r="I16" s="54" t="s">
        <v>14</v>
      </c>
      <c r="J16" s="55"/>
      <c r="K16" s="48"/>
      <c r="L16" s="48"/>
      <c r="M16" s="54" t="s">
        <v>14</v>
      </c>
      <c r="N16" s="55"/>
      <c r="O16" s="55"/>
      <c r="P16" s="48"/>
      <c r="Q16" s="48"/>
      <c r="R16" s="54" t="s">
        <v>14</v>
      </c>
    </row>
    <row r="17" spans="1:18"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</row>
    <row r="18" spans="1:18">
      <c r="A18" s="43" t="s">
        <v>15</v>
      </c>
      <c r="B18" s="57" t="s">
        <v>16</v>
      </c>
      <c r="C18" s="51"/>
      <c r="D18" s="51"/>
      <c r="E18" s="51"/>
      <c r="F18" s="51"/>
      <c r="G18" s="51"/>
      <c r="H18" s="51"/>
      <c r="I18" s="51"/>
      <c r="J18" s="51"/>
      <c r="K18" s="51"/>
      <c r="L18" s="42"/>
      <c r="M18" s="51"/>
      <c r="N18" s="42"/>
      <c r="O18" s="42"/>
      <c r="P18" s="51"/>
      <c r="Q18" s="42"/>
      <c r="R18" s="51"/>
    </row>
    <row r="19" spans="1:18">
      <c r="B19" s="43" t="s">
        <v>104</v>
      </c>
      <c r="C19" s="58"/>
      <c r="D19" s="56"/>
      <c r="E19" s="58"/>
      <c r="F19" s="51"/>
      <c r="G19" s="58"/>
      <c r="H19" s="56"/>
      <c r="I19" s="58"/>
      <c r="J19" s="51"/>
      <c r="K19" s="58"/>
      <c r="L19" s="56"/>
      <c r="M19" s="58"/>
      <c r="P19" s="61">
        <f>C19+G19+K19</f>
        <v>0</v>
      </c>
      <c r="Q19" s="56"/>
      <c r="R19" s="61">
        <f>E19+I19+M19</f>
        <v>0</v>
      </c>
    </row>
    <row r="20" spans="1:18">
      <c r="B20" s="43" t="s">
        <v>120</v>
      </c>
      <c r="C20" s="58"/>
      <c r="D20" s="56"/>
      <c r="E20" s="58"/>
      <c r="F20" s="51"/>
      <c r="G20" s="58"/>
      <c r="H20" s="56"/>
      <c r="I20" s="58"/>
      <c r="J20" s="51"/>
      <c r="K20" s="58"/>
      <c r="L20" s="56"/>
      <c r="M20" s="58"/>
      <c r="P20" s="61">
        <f t="shared" ref="P20:P32" si="0">C20+G20+K20</f>
        <v>0</v>
      </c>
      <c r="Q20" s="56"/>
      <c r="R20" s="61">
        <f t="shared" ref="R20:R32" si="1">E20+I20+M20</f>
        <v>0</v>
      </c>
    </row>
    <row r="21" spans="1:18">
      <c r="B21" s="43" t="s">
        <v>121</v>
      </c>
      <c r="C21" s="58"/>
      <c r="D21" s="56"/>
      <c r="E21" s="58"/>
      <c r="F21" s="51"/>
      <c r="G21" s="58"/>
      <c r="H21" s="56"/>
      <c r="I21" s="58"/>
      <c r="J21" s="51"/>
      <c r="K21" s="58"/>
      <c r="L21" s="56"/>
      <c r="M21" s="58"/>
      <c r="P21" s="61">
        <f t="shared" si="0"/>
        <v>0</v>
      </c>
      <c r="Q21" s="56"/>
      <c r="R21" s="61">
        <f t="shared" si="1"/>
        <v>0</v>
      </c>
    </row>
    <row r="22" spans="1:18">
      <c r="B22" s="59" t="s">
        <v>122</v>
      </c>
      <c r="C22" s="58"/>
      <c r="D22" s="56"/>
      <c r="E22" s="58"/>
      <c r="F22" s="51"/>
      <c r="G22" s="58"/>
      <c r="H22" s="56"/>
      <c r="I22" s="58"/>
      <c r="J22" s="51"/>
      <c r="K22" s="58"/>
      <c r="L22" s="56"/>
      <c r="M22" s="58"/>
      <c r="P22" s="61">
        <f t="shared" si="0"/>
        <v>0</v>
      </c>
      <c r="Q22" s="56"/>
      <c r="R22" s="61">
        <f t="shared" si="1"/>
        <v>0</v>
      </c>
    </row>
    <row r="23" spans="1:18">
      <c r="B23" s="43" t="s">
        <v>123</v>
      </c>
      <c r="C23" s="58"/>
      <c r="D23" s="56"/>
      <c r="E23" s="58"/>
      <c r="F23" s="51"/>
      <c r="G23" s="58"/>
      <c r="H23" s="56"/>
      <c r="I23" s="58"/>
      <c r="J23" s="51"/>
      <c r="K23" s="58"/>
      <c r="L23" s="56"/>
      <c r="M23" s="58"/>
      <c r="P23" s="61">
        <f t="shared" si="0"/>
        <v>0</v>
      </c>
      <c r="Q23" s="56"/>
      <c r="R23" s="61">
        <f t="shared" si="1"/>
        <v>0</v>
      </c>
    </row>
    <row r="24" spans="1:18">
      <c r="B24" s="43" t="s">
        <v>124</v>
      </c>
      <c r="C24" s="58"/>
      <c r="D24" s="56"/>
      <c r="E24" s="58"/>
      <c r="F24" s="51"/>
      <c r="G24" s="58"/>
      <c r="H24" s="56"/>
      <c r="I24" s="58"/>
      <c r="J24" s="51"/>
      <c r="K24" s="58"/>
      <c r="L24" s="56"/>
      <c r="M24" s="58"/>
      <c r="P24" s="61">
        <f t="shared" si="0"/>
        <v>0</v>
      </c>
      <c r="Q24" s="56"/>
      <c r="R24" s="61">
        <f t="shared" si="1"/>
        <v>0</v>
      </c>
    </row>
    <row r="25" spans="1:18">
      <c r="B25" s="43" t="s">
        <v>125</v>
      </c>
      <c r="C25" s="58"/>
      <c r="D25" s="56"/>
      <c r="E25" s="58"/>
      <c r="F25" s="51"/>
      <c r="G25" s="58"/>
      <c r="H25" s="56"/>
      <c r="I25" s="58"/>
      <c r="J25" s="51"/>
      <c r="K25" s="58"/>
      <c r="L25" s="56"/>
      <c r="M25" s="58"/>
      <c r="P25" s="61">
        <f t="shared" si="0"/>
        <v>0</v>
      </c>
      <c r="Q25" s="56"/>
      <c r="R25" s="61">
        <f t="shared" si="1"/>
        <v>0</v>
      </c>
    </row>
    <row r="26" spans="1:18">
      <c r="B26" s="43" t="s">
        <v>126</v>
      </c>
      <c r="C26" s="58"/>
      <c r="D26" s="56"/>
      <c r="E26" s="58"/>
      <c r="F26" s="51"/>
      <c r="G26" s="58"/>
      <c r="H26" s="56"/>
      <c r="I26" s="58"/>
      <c r="J26" s="51"/>
      <c r="K26" s="58"/>
      <c r="L26" s="56"/>
      <c r="M26" s="58"/>
      <c r="P26" s="61">
        <f t="shared" si="0"/>
        <v>0</v>
      </c>
      <c r="Q26" s="56"/>
      <c r="R26" s="61">
        <f t="shared" si="1"/>
        <v>0</v>
      </c>
    </row>
    <row r="27" spans="1:18">
      <c r="B27" s="43" t="s">
        <v>127</v>
      </c>
      <c r="C27" s="58"/>
      <c r="D27" s="56"/>
      <c r="E27" s="58"/>
      <c r="F27" s="51"/>
      <c r="G27" s="58"/>
      <c r="H27" s="56"/>
      <c r="I27" s="58"/>
      <c r="J27" s="51"/>
      <c r="K27" s="58"/>
      <c r="L27" s="56"/>
      <c r="M27" s="58"/>
      <c r="P27" s="61">
        <f t="shared" si="0"/>
        <v>0</v>
      </c>
      <c r="Q27" s="56"/>
      <c r="R27" s="61">
        <f t="shared" si="1"/>
        <v>0</v>
      </c>
    </row>
    <row r="28" spans="1:18">
      <c r="B28" s="43" t="s">
        <v>128</v>
      </c>
      <c r="C28" s="58"/>
      <c r="D28" s="56"/>
      <c r="E28" s="58"/>
      <c r="F28" s="51"/>
      <c r="G28" s="58"/>
      <c r="H28" s="56"/>
      <c r="I28" s="58"/>
      <c r="J28" s="51"/>
      <c r="K28" s="58"/>
      <c r="L28" s="56"/>
      <c r="M28" s="58"/>
      <c r="P28" s="61">
        <f t="shared" si="0"/>
        <v>0</v>
      </c>
      <c r="Q28" s="56"/>
      <c r="R28" s="61">
        <f t="shared" si="1"/>
        <v>0</v>
      </c>
    </row>
    <row r="29" spans="1:18">
      <c r="B29" s="43" t="s">
        <v>129</v>
      </c>
      <c r="C29" s="58"/>
      <c r="D29" s="56"/>
      <c r="E29" s="58"/>
      <c r="F29" s="51"/>
      <c r="G29" s="58"/>
      <c r="H29" s="56"/>
      <c r="I29" s="58"/>
      <c r="J29" s="51"/>
      <c r="K29" s="58"/>
      <c r="L29" s="56"/>
      <c r="M29" s="58"/>
      <c r="P29" s="61">
        <f t="shared" si="0"/>
        <v>0</v>
      </c>
      <c r="Q29" s="56"/>
      <c r="R29" s="61">
        <f t="shared" si="1"/>
        <v>0</v>
      </c>
    </row>
    <row r="30" spans="1:18">
      <c r="B30" s="43" t="s">
        <v>130</v>
      </c>
      <c r="C30" s="58"/>
      <c r="D30" s="56"/>
      <c r="E30" s="58"/>
      <c r="F30" s="51"/>
      <c r="G30" s="58"/>
      <c r="H30" s="56"/>
      <c r="I30" s="58"/>
      <c r="J30" s="51"/>
      <c r="K30" s="58"/>
      <c r="L30" s="56"/>
      <c r="M30" s="58"/>
      <c r="P30" s="61">
        <f t="shared" si="0"/>
        <v>0</v>
      </c>
      <c r="Q30" s="56"/>
      <c r="R30" s="61">
        <f t="shared" si="1"/>
        <v>0</v>
      </c>
    </row>
    <row r="31" spans="1:18">
      <c r="B31" s="43" t="s">
        <v>131</v>
      </c>
      <c r="C31" s="58"/>
      <c r="D31" s="56"/>
      <c r="E31" s="58"/>
      <c r="F31" s="51"/>
      <c r="G31" s="58"/>
      <c r="H31" s="56"/>
      <c r="I31" s="58"/>
      <c r="J31" s="51"/>
      <c r="K31" s="58"/>
      <c r="L31" s="56"/>
      <c r="M31" s="58"/>
      <c r="P31" s="61">
        <f t="shared" si="0"/>
        <v>0</v>
      </c>
      <c r="Q31" s="56"/>
      <c r="R31" s="61">
        <f t="shared" si="1"/>
        <v>0</v>
      </c>
    </row>
    <row r="32" spans="1:18">
      <c r="B32" s="43" t="s">
        <v>52</v>
      </c>
      <c r="C32" s="58"/>
      <c r="D32" s="56"/>
      <c r="E32" s="58"/>
      <c r="F32" s="51"/>
      <c r="G32" s="58"/>
      <c r="H32" s="56"/>
      <c r="I32" s="58"/>
      <c r="J32" s="51"/>
      <c r="K32" s="58"/>
      <c r="L32" s="56"/>
      <c r="M32" s="58"/>
      <c r="P32" s="61">
        <f t="shared" si="0"/>
        <v>0</v>
      </c>
      <c r="Q32" s="56"/>
      <c r="R32" s="61">
        <f t="shared" si="1"/>
        <v>0</v>
      </c>
    </row>
    <row r="33" spans="1:18">
      <c r="C33" s="56"/>
      <c r="D33" s="56"/>
      <c r="E33" s="56"/>
      <c r="F33" s="51"/>
      <c r="G33" s="56"/>
      <c r="H33" s="56"/>
      <c r="I33" s="56"/>
      <c r="J33" s="51"/>
      <c r="K33" s="56"/>
      <c r="L33" s="56"/>
      <c r="M33" s="56"/>
      <c r="P33" s="56"/>
      <c r="Q33" s="56"/>
      <c r="R33" s="56"/>
    </row>
    <row r="34" spans="1:18">
      <c r="B34" s="43" t="s">
        <v>187</v>
      </c>
      <c r="C34" s="61">
        <f>SUM(C19:C32)</f>
        <v>0</v>
      </c>
      <c r="D34" s="44"/>
      <c r="E34" s="61">
        <f>SUM(E19:E32)</f>
        <v>0</v>
      </c>
      <c r="F34" s="44"/>
      <c r="G34" s="61">
        <f>SUM(G19:G32)</f>
        <v>0</v>
      </c>
      <c r="H34" s="44"/>
      <c r="I34" s="61">
        <f>SUM(I19:I32)</f>
        <v>0</v>
      </c>
      <c r="J34" s="44"/>
      <c r="K34" s="61">
        <f>SUM(K19:K32)</f>
        <v>0</v>
      </c>
      <c r="L34"/>
      <c r="M34" s="61">
        <f>SUM(M19:M32)</f>
        <v>0</v>
      </c>
      <c r="N34"/>
      <c r="P34" s="61">
        <f>SUM(P19:P32)</f>
        <v>0</v>
      </c>
      <c r="Q34" s="56"/>
      <c r="R34" s="61">
        <f>SUM(R19:R32)</f>
        <v>0</v>
      </c>
    </row>
    <row r="35" spans="1:18"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</row>
    <row r="36" spans="1:18">
      <c r="A36" s="43" t="s">
        <v>17</v>
      </c>
      <c r="B36" s="57" t="s">
        <v>18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</row>
    <row r="37" spans="1:18">
      <c r="B37" s="57" t="s">
        <v>112</v>
      </c>
      <c r="C37" s="51"/>
      <c r="D37" s="51"/>
      <c r="E37" s="51"/>
      <c r="F37" s="51"/>
      <c r="G37" s="51"/>
      <c r="H37" s="51"/>
      <c r="I37" s="51"/>
      <c r="J37" s="51"/>
      <c r="K37" s="51"/>
      <c r="L37" s="42"/>
      <c r="M37" s="51"/>
      <c r="N37" s="42"/>
      <c r="O37" s="42"/>
      <c r="P37" s="51"/>
      <c r="Q37" s="42"/>
      <c r="R37" s="51"/>
    </row>
    <row r="38" spans="1:18">
      <c r="B38" s="43" t="s">
        <v>104</v>
      </c>
      <c r="C38" s="58"/>
      <c r="D38" s="56"/>
      <c r="E38" s="58"/>
      <c r="F38" s="51"/>
      <c r="G38" s="58"/>
      <c r="H38" s="56"/>
      <c r="I38" s="58"/>
      <c r="J38" s="51"/>
      <c r="K38" s="58"/>
      <c r="L38" s="56"/>
      <c r="M38" s="58"/>
      <c r="N38" s="42"/>
      <c r="O38" s="42"/>
      <c r="P38" s="61">
        <f>C38+G38+K38</f>
        <v>0</v>
      </c>
      <c r="Q38" s="56"/>
      <c r="R38" s="61">
        <f>E38+I38+M38</f>
        <v>0</v>
      </c>
    </row>
    <row r="39" spans="1:18">
      <c r="B39" s="43" t="s">
        <v>120</v>
      </c>
      <c r="C39" s="58"/>
      <c r="D39" s="56"/>
      <c r="E39" s="58"/>
      <c r="F39" s="51"/>
      <c r="G39" s="58"/>
      <c r="H39" s="56"/>
      <c r="I39" s="58"/>
      <c r="J39" s="51"/>
      <c r="K39" s="58"/>
      <c r="L39" s="56"/>
      <c r="M39" s="58"/>
      <c r="N39" s="42"/>
      <c r="O39" s="42"/>
      <c r="P39" s="61">
        <f t="shared" ref="P39:P51" si="2">C39+G39+K39</f>
        <v>0</v>
      </c>
      <c r="Q39" s="56"/>
      <c r="R39" s="61">
        <f t="shared" ref="R39:R51" si="3">E39+I39+M39</f>
        <v>0</v>
      </c>
    </row>
    <row r="40" spans="1:18">
      <c r="B40" s="43" t="s">
        <v>121</v>
      </c>
      <c r="C40" s="58"/>
      <c r="D40" s="56"/>
      <c r="E40" s="58"/>
      <c r="F40" s="51"/>
      <c r="G40" s="58"/>
      <c r="H40" s="56"/>
      <c r="I40" s="58"/>
      <c r="J40" s="51"/>
      <c r="K40" s="58"/>
      <c r="L40" s="56"/>
      <c r="M40" s="58"/>
      <c r="N40" s="42"/>
      <c r="O40" s="42"/>
      <c r="P40" s="61">
        <f t="shared" si="2"/>
        <v>0</v>
      </c>
      <c r="Q40" s="56"/>
      <c r="R40" s="61">
        <f t="shared" si="3"/>
        <v>0</v>
      </c>
    </row>
    <row r="41" spans="1:18">
      <c r="B41" s="59" t="s">
        <v>151</v>
      </c>
      <c r="C41" s="58"/>
      <c r="D41" s="56"/>
      <c r="E41" s="58"/>
      <c r="F41" s="51"/>
      <c r="G41" s="58"/>
      <c r="H41" s="56"/>
      <c r="I41" s="58"/>
      <c r="J41" s="51"/>
      <c r="K41" s="58"/>
      <c r="L41" s="56"/>
      <c r="M41" s="58"/>
      <c r="N41" s="42"/>
      <c r="O41" s="42"/>
      <c r="P41" s="61">
        <f t="shared" si="2"/>
        <v>0</v>
      </c>
      <c r="Q41" s="56"/>
      <c r="R41" s="61">
        <f t="shared" si="3"/>
        <v>0</v>
      </c>
    </row>
    <row r="42" spans="1:18">
      <c r="B42" s="43" t="s">
        <v>123</v>
      </c>
      <c r="C42" s="58"/>
      <c r="D42" s="56"/>
      <c r="E42" s="58"/>
      <c r="F42" s="51"/>
      <c r="G42" s="58"/>
      <c r="H42" s="56"/>
      <c r="I42" s="58"/>
      <c r="J42" s="51"/>
      <c r="K42" s="58"/>
      <c r="L42" s="56"/>
      <c r="M42" s="58"/>
      <c r="N42" s="42"/>
      <c r="O42" s="42"/>
      <c r="P42" s="61">
        <f t="shared" si="2"/>
        <v>0</v>
      </c>
      <c r="Q42" s="56"/>
      <c r="R42" s="61">
        <f t="shared" si="3"/>
        <v>0</v>
      </c>
    </row>
    <row r="43" spans="1:18">
      <c r="B43" s="43" t="s">
        <v>124</v>
      </c>
      <c r="C43" s="58"/>
      <c r="D43" s="56"/>
      <c r="E43" s="58"/>
      <c r="F43" s="51"/>
      <c r="G43" s="58"/>
      <c r="H43" s="56"/>
      <c r="I43" s="58"/>
      <c r="J43" s="51"/>
      <c r="K43" s="58"/>
      <c r="L43" s="56"/>
      <c r="M43" s="58"/>
      <c r="N43" s="42"/>
      <c r="O43" s="42"/>
      <c r="P43" s="61">
        <f t="shared" si="2"/>
        <v>0</v>
      </c>
      <c r="Q43" s="56"/>
      <c r="R43" s="61">
        <f t="shared" si="3"/>
        <v>0</v>
      </c>
    </row>
    <row r="44" spans="1:18">
      <c r="B44" s="43" t="s">
        <v>125</v>
      </c>
      <c r="C44" s="58"/>
      <c r="D44" s="56"/>
      <c r="E44" s="58"/>
      <c r="F44" s="51"/>
      <c r="G44" s="58"/>
      <c r="H44" s="56"/>
      <c r="I44" s="58"/>
      <c r="J44" s="51"/>
      <c r="K44" s="58"/>
      <c r="L44" s="56"/>
      <c r="M44" s="58"/>
      <c r="N44" s="42"/>
      <c r="O44" s="42"/>
      <c r="P44" s="61">
        <f t="shared" si="2"/>
        <v>0</v>
      </c>
      <c r="Q44" s="56"/>
      <c r="R44" s="61">
        <f t="shared" si="3"/>
        <v>0</v>
      </c>
    </row>
    <row r="45" spans="1:18">
      <c r="B45" s="43" t="s">
        <v>126</v>
      </c>
      <c r="C45" s="58"/>
      <c r="D45" s="56"/>
      <c r="E45" s="58"/>
      <c r="F45" s="51"/>
      <c r="G45" s="58"/>
      <c r="H45" s="56"/>
      <c r="I45" s="58"/>
      <c r="J45" s="51"/>
      <c r="K45" s="58"/>
      <c r="L45" s="56"/>
      <c r="M45" s="58"/>
      <c r="N45" s="42"/>
      <c r="O45" s="42"/>
      <c r="P45" s="61">
        <f t="shared" si="2"/>
        <v>0</v>
      </c>
      <c r="Q45" s="56"/>
      <c r="R45" s="61">
        <f t="shared" si="3"/>
        <v>0</v>
      </c>
    </row>
    <row r="46" spans="1:18">
      <c r="B46" s="43" t="s">
        <v>127</v>
      </c>
      <c r="C46" s="58"/>
      <c r="D46" s="56"/>
      <c r="E46" s="58"/>
      <c r="F46" s="51"/>
      <c r="G46" s="58"/>
      <c r="H46" s="56"/>
      <c r="I46" s="58"/>
      <c r="J46" s="51"/>
      <c r="K46" s="58"/>
      <c r="L46" s="56"/>
      <c r="M46" s="58"/>
      <c r="N46" s="42"/>
      <c r="O46" s="42"/>
      <c r="P46" s="61">
        <f t="shared" si="2"/>
        <v>0</v>
      </c>
      <c r="Q46" s="56"/>
      <c r="R46" s="61">
        <f t="shared" si="3"/>
        <v>0</v>
      </c>
    </row>
    <row r="47" spans="1:18">
      <c r="B47" s="43" t="s">
        <v>128</v>
      </c>
      <c r="C47" s="58"/>
      <c r="D47" s="56"/>
      <c r="E47" s="58"/>
      <c r="F47" s="51"/>
      <c r="G47" s="58"/>
      <c r="H47" s="56"/>
      <c r="I47" s="58"/>
      <c r="J47" s="51"/>
      <c r="K47" s="58"/>
      <c r="L47" s="56"/>
      <c r="M47" s="58"/>
      <c r="N47" s="42"/>
      <c r="O47" s="42"/>
      <c r="P47" s="61">
        <f t="shared" si="2"/>
        <v>0</v>
      </c>
      <c r="Q47" s="56"/>
      <c r="R47" s="61">
        <f t="shared" si="3"/>
        <v>0</v>
      </c>
    </row>
    <row r="48" spans="1:18">
      <c r="B48" s="43" t="s">
        <v>129</v>
      </c>
      <c r="C48" s="58"/>
      <c r="D48" s="56"/>
      <c r="E48" s="58"/>
      <c r="F48" s="51"/>
      <c r="G48" s="58"/>
      <c r="H48" s="56"/>
      <c r="I48" s="58"/>
      <c r="J48" s="51"/>
      <c r="K48" s="58"/>
      <c r="L48" s="56"/>
      <c r="M48" s="58"/>
      <c r="N48" s="42"/>
      <c r="O48" s="42"/>
      <c r="P48" s="61">
        <f t="shared" si="2"/>
        <v>0</v>
      </c>
      <c r="Q48" s="56"/>
      <c r="R48" s="61">
        <f t="shared" si="3"/>
        <v>0</v>
      </c>
    </row>
    <row r="49" spans="1:18">
      <c r="B49" s="43" t="s">
        <v>130</v>
      </c>
      <c r="C49" s="58"/>
      <c r="D49" s="56"/>
      <c r="E49" s="58"/>
      <c r="F49" s="51"/>
      <c r="G49" s="58"/>
      <c r="H49" s="56"/>
      <c r="I49" s="58"/>
      <c r="J49" s="51"/>
      <c r="K49" s="58"/>
      <c r="L49" s="56"/>
      <c r="M49" s="58"/>
      <c r="N49" s="42"/>
      <c r="O49" s="42"/>
      <c r="P49" s="61">
        <f t="shared" si="2"/>
        <v>0</v>
      </c>
      <c r="Q49" s="56"/>
      <c r="R49" s="61">
        <f t="shared" si="3"/>
        <v>0</v>
      </c>
    </row>
    <row r="50" spans="1:18">
      <c r="B50" s="43" t="s">
        <v>131</v>
      </c>
      <c r="C50" s="58"/>
      <c r="D50" s="56"/>
      <c r="E50" s="58"/>
      <c r="F50" s="51"/>
      <c r="G50" s="58"/>
      <c r="H50" s="56"/>
      <c r="I50" s="58"/>
      <c r="J50" s="51"/>
      <c r="K50" s="58"/>
      <c r="L50" s="56"/>
      <c r="M50" s="58"/>
      <c r="N50" s="42"/>
      <c r="O50" s="42"/>
      <c r="P50" s="61">
        <f t="shared" si="2"/>
        <v>0</v>
      </c>
      <c r="Q50" s="56"/>
      <c r="R50" s="61">
        <f t="shared" si="3"/>
        <v>0</v>
      </c>
    </row>
    <row r="51" spans="1:18">
      <c r="B51" s="43" t="s">
        <v>52</v>
      </c>
      <c r="C51" s="58"/>
      <c r="D51" s="56"/>
      <c r="E51" s="58"/>
      <c r="F51" s="51"/>
      <c r="G51" s="58"/>
      <c r="H51" s="56"/>
      <c r="I51" s="58"/>
      <c r="J51" s="51"/>
      <c r="K51" s="58"/>
      <c r="L51" s="56"/>
      <c r="M51" s="58"/>
      <c r="N51" s="42"/>
      <c r="O51" s="42"/>
      <c r="P51" s="61">
        <f t="shared" si="2"/>
        <v>0</v>
      </c>
      <c r="Q51" s="56"/>
      <c r="R51" s="61">
        <f t="shared" si="3"/>
        <v>0</v>
      </c>
    </row>
    <row r="52" spans="1:18">
      <c r="C52" s="56"/>
      <c r="D52" s="56"/>
      <c r="E52" s="56"/>
      <c r="F52" s="51"/>
      <c r="G52" s="56"/>
      <c r="H52" s="56"/>
      <c r="I52" s="56"/>
      <c r="J52" s="51"/>
      <c r="K52" s="56"/>
      <c r="L52" s="56"/>
      <c r="M52" s="56"/>
      <c r="N52" s="42"/>
      <c r="O52" s="42"/>
      <c r="P52" s="56"/>
      <c r="Q52" s="56"/>
      <c r="R52" s="56"/>
    </row>
    <row r="53" spans="1:18">
      <c r="B53" s="43" t="s">
        <v>187</v>
      </c>
      <c r="C53" s="61">
        <f>SUM(C38:C51)</f>
        <v>0</v>
      </c>
      <c r="D53" s="44"/>
      <c r="E53" s="61">
        <f>SUM(E38:E51)</f>
        <v>0</v>
      </c>
      <c r="F53" s="44"/>
      <c r="G53" s="61">
        <f>SUM(G38:G51)</f>
        <v>0</v>
      </c>
      <c r="H53" s="44"/>
      <c r="I53" s="61">
        <f>SUM(I38:I51)</f>
        <v>0</v>
      </c>
      <c r="J53" s="44"/>
      <c r="K53" s="61">
        <f>SUM(K38:K51)</f>
        <v>0</v>
      </c>
      <c r="L53"/>
      <c r="M53" s="61">
        <f>SUM(M38:M51)</f>
        <v>0</v>
      </c>
      <c r="N53"/>
      <c r="P53" s="61">
        <f>SUM(P38:P51)</f>
        <v>0</v>
      </c>
      <c r="Q53" s="56"/>
      <c r="R53" s="61">
        <f>SUM(R38:R51)</f>
        <v>0</v>
      </c>
    </row>
    <row r="55" spans="1:18">
      <c r="A55" s="43" t="s">
        <v>19</v>
      </c>
      <c r="B55" s="57" t="s">
        <v>20</v>
      </c>
    </row>
    <row r="56" spans="1:18">
      <c r="B56" s="57" t="s">
        <v>113</v>
      </c>
      <c r="C56" s="51"/>
      <c r="D56" s="51"/>
      <c r="E56" s="51"/>
      <c r="F56" s="51"/>
      <c r="G56" s="51"/>
      <c r="H56" s="51"/>
      <c r="I56" s="51"/>
      <c r="J56" s="51"/>
      <c r="K56" s="51"/>
      <c r="L56" s="42"/>
      <c r="M56" s="51"/>
      <c r="N56" s="42"/>
      <c r="O56" s="42"/>
      <c r="P56" s="51"/>
      <c r="Q56" s="42"/>
      <c r="R56" s="51"/>
    </row>
    <row r="57" spans="1:18">
      <c r="B57" s="43" t="s">
        <v>104</v>
      </c>
      <c r="C57" s="58"/>
      <c r="D57" s="56"/>
      <c r="E57" s="58"/>
      <c r="F57" s="51"/>
      <c r="G57" s="58"/>
      <c r="H57" s="56"/>
      <c r="I57" s="58"/>
      <c r="J57" s="51"/>
      <c r="K57" s="58"/>
      <c r="L57" s="56"/>
      <c r="M57" s="58"/>
      <c r="N57" s="42"/>
      <c r="O57" s="42"/>
      <c r="P57" s="156">
        <f>C57+G57+K57</f>
        <v>0</v>
      </c>
      <c r="Q57" s="56"/>
      <c r="R57" s="61">
        <f>E57+I57+M57</f>
        <v>0</v>
      </c>
    </row>
    <row r="58" spans="1:18">
      <c r="B58" s="43" t="s">
        <v>120</v>
      </c>
      <c r="C58" s="58"/>
      <c r="D58" s="56"/>
      <c r="E58" s="58"/>
      <c r="F58" s="51"/>
      <c r="G58" s="58"/>
      <c r="H58" s="56"/>
      <c r="I58" s="58"/>
      <c r="J58" s="51"/>
      <c r="K58" s="58"/>
      <c r="L58" s="56"/>
      <c r="M58" s="58"/>
      <c r="N58" s="42"/>
      <c r="O58" s="42"/>
      <c r="P58" s="156">
        <f t="shared" ref="P58:P70" si="4">C58+G58+K58</f>
        <v>0</v>
      </c>
      <c r="Q58" s="56"/>
      <c r="R58" s="61">
        <f t="shared" ref="R58:R70" si="5">E58+I58+M58</f>
        <v>0</v>
      </c>
    </row>
    <row r="59" spans="1:18">
      <c r="B59" s="43" t="s">
        <v>121</v>
      </c>
      <c r="C59" s="58"/>
      <c r="D59" s="56"/>
      <c r="E59" s="58"/>
      <c r="F59" s="51"/>
      <c r="G59" s="58"/>
      <c r="H59" s="56"/>
      <c r="I59" s="58"/>
      <c r="J59" s="51"/>
      <c r="K59" s="58"/>
      <c r="L59" s="56"/>
      <c r="M59" s="58"/>
      <c r="N59" s="42"/>
      <c r="O59" s="42"/>
      <c r="P59" s="156">
        <f t="shared" si="4"/>
        <v>0</v>
      </c>
      <c r="Q59" s="56"/>
      <c r="R59" s="61">
        <f t="shared" si="5"/>
        <v>0</v>
      </c>
    </row>
    <row r="60" spans="1:18">
      <c r="B60" s="59" t="s">
        <v>122</v>
      </c>
      <c r="C60" s="58"/>
      <c r="D60" s="56"/>
      <c r="E60" s="58"/>
      <c r="F60" s="51"/>
      <c r="G60" s="58"/>
      <c r="H60" s="56"/>
      <c r="I60" s="58"/>
      <c r="J60" s="51"/>
      <c r="K60" s="58"/>
      <c r="L60" s="56"/>
      <c r="M60" s="58"/>
      <c r="N60" s="42"/>
      <c r="O60" s="42"/>
      <c r="P60" s="156">
        <f t="shared" si="4"/>
        <v>0</v>
      </c>
      <c r="Q60" s="42"/>
      <c r="R60" s="61">
        <f t="shared" si="5"/>
        <v>0</v>
      </c>
    </row>
    <row r="61" spans="1:18">
      <c r="B61" s="43" t="s">
        <v>123</v>
      </c>
      <c r="C61" s="58"/>
      <c r="D61" s="56"/>
      <c r="E61" s="58"/>
      <c r="F61" s="51"/>
      <c r="G61" s="58"/>
      <c r="H61" s="56"/>
      <c r="I61" s="58"/>
      <c r="J61" s="51"/>
      <c r="K61" s="58"/>
      <c r="L61" s="56"/>
      <c r="M61" s="58"/>
      <c r="N61" s="42"/>
      <c r="O61" s="42"/>
      <c r="P61" s="156">
        <f t="shared" si="4"/>
        <v>0</v>
      </c>
      <c r="Q61" s="42"/>
      <c r="R61" s="61">
        <f t="shared" si="5"/>
        <v>0</v>
      </c>
    </row>
    <row r="62" spans="1:18">
      <c r="B62" s="43" t="s">
        <v>124</v>
      </c>
      <c r="C62" s="58"/>
      <c r="D62" s="56"/>
      <c r="E62" s="58"/>
      <c r="F62" s="51"/>
      <c r="G62" s="58"/>
      <c r="H62" s="56"/>
      <c r="I62" s="58"/>
      <c r="J62" s="51"/>
      <c r="K62" s="58"/>
      <c r="L62" s="56"/>
      <c r="M62" s="58"/>
      <c r="N62" s="42"/>
      <c r="O62" s="42"/>
      <c r="P62" s="156">
        <f t="shared" si="4"/>
        <v>0</v>
      </c>
      <c r="Q62" s="42"/>
      <c r="R62" s="61">
        <f t="shared" si="5"/>
        <v>0</v>
      </c>
    </row>
    <row r="63" spans="1:18">
      <c r="B63" s="43" t="s">
        <v>125</v>
      </c>
      <c r="C63" s="58"/>
      <c r="D63" s="56"/>
      <c r="E63" s="58"/>
      <c r="F63" s="51"/>
      <c r="G63" s="58"/>
      <c r="H63" s="56"/>
      <c r="I63" s="58"/>
      <c r="J63" s="51"/>
      <c r="K63" s="58"/>
      <c r="L63" s="56"/>
      <c r="M63" s="58"/>
      <c r="N63" s="42"/>
      <c r="O63" s="42"/>
      <c r="P63" s="156">
        <f t="shared" si="4"/>
        <v>0</v>
      </c>
      <c r="Q63" s="42"/>
      <c r="R63" s="61">
        <f t="shared" si="5"/>
        <v>0</v>
      </c>
    </row>
    <row r="64" spans="1:18">
      <c r="B64" s="43" t="s">
        <v>126</v>
      </c>
      <c r="C64" s="58"/>
      <c r="D64" s="56"/>
      <c r="E64" s="58"/>
      <c r="F64" s="51"/>
      <c r="G64" s="58"/>
      <c r="H64" s="56"/>
      <c r="I64" s="58"/>
      <c r="J64" s="51"/>
      <c r="K64" s="58"/>
      <c r="L64" s="56"/>
      <c r="M64" s="58"/>
      <c r="N64" s="42"/>
      <c r="O64" s="42"/>
      <c r="P64" s="156">
        <f t="shared" si="4"/>
        <v>0</v>
      </c>
      <c r="Q64" s="42"/>
      <c r="R64" s="61">
        <f t="shared" si="5"/>
        <v>0</v>
      </c>
    </row>
    <row r="65" spans="1:18">
      <c r="B65" s="43" t="s">
        <v>127</v>
      </c>
      <c r="C65" s="58"/>
      <c r="D65" s="56"/>
      <c r="E65" s="58"/>
      <c r="F65" s="51"/>
      <c r="G65" s="58"/>
      <c r="H65" s="56"/>
      <c r="I65" s="58"/>
      <c r="J65" s="51"/>
      <c r="K65" s="58"/>
      <c r="L65" s="56"/>
      <c r="M65" s="58"/>
      <c r="N65" s="42"/>
      <c r="O65" s="42"/>
      <c r="P65" s="156">
        <f t="shared" si="4"/>
        <v>0</v>
      </c>
      <c r="Q65" s="42"/>
      <c r="R65" s="61">
        <f t="shared" si="5"/>
        <v>0</v>
      </c>
    </row>
    <row r="66" spans="1:18">
      <c r="B66" s="43" t="s">
        <v>128</v>
      </c>
      <c r="C66" s="58"/>
      <c r="D66" s="56"/>
      <c r="E66" s="58"/>
      <c r="F66" s="51"/>
      <c r="G66" s="58"/>
      <c r="H66" s="56"/>
      <c r="I66" s="58"/>
      <c r="J66" s="51"/>
      <c r="K66" s="58"/>
      <c r="L66" s="56"/>
      <c r="M66" s="58"/>
      <c r="N66" s="42"/>
      <c r="O66" s="42"/>
      <c r="P66" s="156">
        <f t="shared" si="4"/>
        <v>0</v>
      </c>
      <c r="Q66" s="42"/>
      <c r="R66" s="61">
        <f t="shared" si="5"/>
        <v>0</v>
      </c>
    </row>
    <row r="67" spans="1:18">
      <c r="B67" s="43" t="s">
        <v>129</v>
      </c>
      <c r="C67" s="58"/>
      <c r="D67" s="56"/>
      <c r="E67" s="58"/>
      <c r="F67" s="51"/>
      <c r="G67" s="58"/>
      <c r="H67" s="56"/>
      <c r="I67" s="58"/>
      <c r="J67" s="51"/>
      <c r="K67" s="58"/>
      <c r="L67" s="56"/>
      <c r="M67" s="58"/>
      <c r="N67" s="42"/>
      <c r="O67" s="42"/>
      <c r="P67" s="156">
        <f t="shared" si="4"/>
        <v>0</v>
      </c>
      <c r="Q67" s="42"/>
      <c r="R67" s="61">
        <f t="shared" si="5"/>
        <v>0</v>
      </c>
    </row>
    <row r="68" spans="1:18">
      <c r="B68" s="43" t="s">
        <v>130</v>
      </c>
      <c r="C68" s="58"/>
      <c r="D68" s="56"/>
      <c r="E68" s="58"/>
      <c r="F68" s="51"/>
      <c r="G68" s="58"/>
      <c r="H68" s="56"/>
      <c r="I68" s="58"/>
      <c r="J68" s="51"/>
      <c r="K68" s="58"/>
      <c r="L68" s="56"/>
      <c r="M68" s="58"/>
      <c r="N68" s="42"/>
      <c r="O68" s="42"/>
      <c r="P68" s="156">
        <f t="shared" si="4"/>
        <v>0</v>
      </c>
      <c r="Q68" s="42"/>
      <c r="R68" s="61">
        <f t="shared" si="5"/>
        <v>0</v>
      </c>
    </row>
    <row r="69" spans="1:18">
      <c r="B69" s="43" t="s">
        <v>131</v>
      </c>
      <c r="C69" s="58"/>
      <c r="D69" s="56"/>
      <c r="E69" s="58"/>
      <c r="F69" s="51"/>
      <c r="G69" s="58"/>
      <c r="H69" s="56"/>
      <c r="I69" s="58"/>
      <c r="J69" s="51"/>
      <c r="K69" s="58"/>
      <c r="L69" s="56"/>
      <c r="M69" s="58"/>
      <c r="N69" s="42"/>
      <c r="O69" s="42"/>
      <c r="P69" s="156">
        <f t="shared" si="4"/>
        <v>0</v>
      </c>
      <c r="Q69" s="42"/>
      <c r="R69" s="61">
        <f t="shared" si="5"/>
        <v>0</v>
      </c>
    </row>
    <row r="70" spans="1:18">
      <c r="B70" s="43" t="s">
        <v>52</v>
      </c>
      <c r="C70" s="58"/>
      <c r="D70" s="56"/>
      <c r="E70" s="58"/>
      <c r="F70" s="51"/>
      <c r="G70" s="58"/>
      <c r="H70" s="56"/>
      <c r="I70" s="58"/>
      <c r="J70" s="51"/>
      <c r="K70" s="58"/>
      <c r="L70" s="56"/>
      <c r="M70" s="58"/>
      <c r="N70" s="42"/>
      <c r="O70" s="42"/>
      <c r="P70" s="156">
        <f t="shared" si="4"/>
        <v>0</v>
      </c>
      <c r="Q70" s="42"/>
      <c r="R70" s="61">
        <f t="shared" si="5"/>
        <v>0</v>
      </c>
    </row>
    <row r="71" spans="1:18">
      <c r="C71" s="56"/>
      <c r="D71" s="56"/>
      <c r="E71" s="56"/>
      <c r="F71" s="51"/>
      <c r="G71" s="56"/>
      <c r="H71" s="56"/>
      <c r="I71" s="56"/>
      <c r="J71" s="51"/>
      <c r="K71" s="56"/>
      <c r="L71" s="56"/>
      <c r="M71" s="56"/>
      <c r="N71" s="42"/>
      <c r="O71" s="42"/>
      <c r="P71" s="157"/>
      <c r="Q71" s="42"/>
      <c r="R71" s="56"/>
    </row>
    <row r="72" spans="1:18">
      <c r="B72" s="43" t="s">
        <v>187</v>
      </c>
      <c r="C72" s="61">
        <f>SUM(C57:C70)</f>
        <v>0</v>
      </c>
      <c r="D72" s="44"/>
      <c r="E72" s="61">
        <f>SUM(E57:E70)</f>
        <v>0</v>
      </c>
      <c r="F72" s="44"/>
      <c r="G72" s="61">
        <f>SUM(G57:G70)</f>
        <v>0</v>
      </c>
      <c r="H72" s="44"/>
      <c r="I72" s="61">
        <f>SUM(I57:I70)</f>
        <v>0</v>
      </c>
      <c r="J72" s="44"/>
      <c r="K72" s="61">
        <f>SUM(K57:K70)</f>
        <v>0</v>
      </c>
      <c r="L72"/>
      <c r="M72" s="61">
        <f>SUM(M57:M70)</f>
        <v>0</v>
      </c>
      <c r="N72"/>
      <c r="P72" s="61">
        <f>SUM(P57:P70)</f>
        <v>0</v>
      </c>
      <c r="Q72" s="56"/>
      <c r="R72" s="61">
        <f>SUM(R57:R70)</f>
        <v>0</v>
      </c>
    </row>
    <row r="73" spans="1:18"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</row>
    <row r="74" spans="1:18">
      <c r="A74" s="43" t="s">
        <v>21</v>
      </c>
      <c r="B74" s="57" t="s">
        <v>22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</row>
    <row r="75" spans="1:18">
      <c r="B75" s="57" t="s">
        <v>113</v>
      </c>
      <c r="C75" s="51"/>
      <c r="D75" s="51"/>
      <c r="E75" s="51"/>
      <c r="F75" s="51"/>
      <c r="G75" s="51"/>
      <c r="H75" s="51"/>
      <c r="I75" s="51"/>
      <c r="J75" s="51"/>
      <c r="K75" s="51"/>
      <c r="L75" s="42"/>
      <c r="M75" s="51"/>
      <c r="N75" s="42"/>
      <c r="O75" s="42"/>
      <c r="P75" s="51"/>
      <c r="Q75" s="42"/>
      <c r="R75" s="51"/>
    </row>
    <row r="76" spans="1:18">
      <c r="B76" s="43" t="s">
        <v>104</v>
      </c>
      <c r="C76" s="58"/>
      <c r="D76" s="56"/>
      <c r="E76" s="58"/>
      <c r="F76" s="51"/>
      <c r="G76" s="58"/>
      <c r="H76" s="56"/>
      <c r="I76" s="58"/>
      <c r="J76" s="51"/>
      <c r="K76" s="58"/>
      <c r="L76" s="56"/>
      <c r="M76" s="58"/>
      <c r="N76" s="42"/>
      <c r="O76" s="42"/>
      <c r="P76" s="61">
        <f>C76+G76+K76</f>
        <v>0</v>
      </c>
      <c r="Q76" s="56"/>
      <c r="R76" s="61">
        <f>E76+I76+M76</f>
        <v>0</v>
      </c>
    </row>
    <row r="77" spans="1:18">
      <c r="B77" s="43" t="s">
        <v>120</v>
      </c>
      <c r="C77" s="58"/>
      <c r="D77" s="56"/>
      <c r="E77" s="58"/>
      <c r="F77" s="51"/>
      <c r="G77" s="58"/>
      <c r="H77" s="56"/>
      <c r="I77" s="58"/>
      <c r="J77" s="51"/>
      <c r="K77" s="58"/>
      <c r="L77" s="56"/>
      <c r="M77" s="58"/>
      <c r="N77" s="42"/>
      <c r="O77" s="42"/>
      <c r="P77" s="61">
        <f t="shared" ref="P77:P89" si="6">C77+G77+K77</f>
        <v>0</v>
      </c>
      <c r="Q77" s="56"/>
      <c r="R77" s="61">
        <f t="shared" ref="R77:R89" si="7">E77+I77+M77</f>
        <v>0</v>
      </c>
    </row>
    <row r="78" spans="1:18">
      <c r="B78" s="43" t="s">
        <v>121</v>
      </c>
      <c r="C78" s="58"/>
      <c r="D78" s="56"/>
      <c r="E78" s="58"/>
      <c r="F78" s="51"/>
      <c r="G78" s="58"/>
      <c r="H78" s="56"/>
      <c r="I78" s="58"/>
      <c r="J78" s="51"/>
      <c r="K78" s="58"/>
      <c r="L78" s="56"/>
      <c r="M78" s="58"/>
      <c r="N78" s="42"/>
      <c r="O78" s="42"/>
      <c r="P78" s="61">
        <f t="shared" si="6"/>
        <v>0</v>
      </c>
      <c r="Q78" s="56"/>
      <c r="R78" s="61">
        <f t="shared" si="7"/>
        <v>0</v>
      </c>
    </row>
    <row r="79" spans="1:18">
      <c r="B79" s="59" t="s">
        <v>122</v>
      </c>
      <c r="C79" s="58"/>
      <c r="D79" s="56"/>
      <c r="E79" s="58"/>
      <c r="F79" s="51"/>
      <c r="G79" s="58"/>
      <c r="H79" s="56"/>
      <c r="I79" s="58"/>
      <c r="J79" s="51"/>
      <c r="K79" s="58"/>
      <c r="L79" s="56"/>
      <c r="M79" s="58"/>
      <c r="N79" s="42"/>
      <c r="O79" s="42"/>
      <c r="P79" s="61">
        <f t="shared" si="6"/>
        <v>0</v>
      </c>
      <c r="Q79" s="56"/>
      <c r="R79" s="61">
        <f t="shared" si="7"/>
        <v>0</v>
      </c>
    </row>
    <row r="80" spans="1:18">
      <c r="B80" s="43" t="s">
        <v>123</v>
      </c>
      <c r="C80" s="58"/>
      <c r="D80" s="56"/>
      <c r="E80" s="58"/>
      <c r="F80" s="51"/>
      <c r="G80" s="58"/>
      <c r="H80" s="56"/>
      <c r="I80" s="58"/>
      <c r="J80" s="51"/>
      <c r="K80" s="58"/>
      <c r="L80" s="56"/>
      <c r="M80" s="58"/>
      <c r="N80" s="42"/>
      <c r="O80" s="42"/>
      <c r="P80" s="61">
        <f t="shared" si="6"/>
        <v>0</v>
      </c>
      <c r="Q80" s="42"/>
      <c r="R80" s="61">
        <f t="shared" si="7"/>
        <v>0</v>
      </c>
    </row>
    <row r="81" spans="1:18">
      <c r="B81" s="43" t="s">
        <v>124</v>
      </c>
      <c r="C81" s="58"/>
      <c r="D81" s="56"/>
      <c r="E81" s="58"/>
      <c r="F81" s="51"/>
      <c r="G81" s="58"/>
      <c r="H81" s="56"/>
      <c r="I81" s="58"/>
      <c r="J81" s="51"/>
      <c r="K81" s="58"/>
      <c r="L81" s="56"/>
      <c r="M81" s="58"/>
      <c r="N81" s="42"/>
      <c r="O81" s="42"/>
      <c r="P81" s="61">
        <f t="shared" si="6"/>
        <v>0</v>
      </c>
      <c r="Q81" s="42"/>
      <c r="R81" s="61">
        <f t="shared" si="7"/>
        <v>0</v>
      </c>
    </row>
    <row r="82" spans="1:18">
      <c r="B82" s="43" t="s">
        <v>125</v>
      </c>
      <c r="C82" s="58"/>
      <c r="D82" s="56"/>
      <c r="E82" s="58"/>
      <c r="F82" s="51"/>
      <c r="G82" s="58"/>
      <c r="H82" s="56"/>
      <c r="I82" s="58"/>
      <c r="J82" s="51"/>
      <c r="K82" s="58"/>
      <c r="L82" s="56"/>
      <c r="M82" s="58"/>
      <c r="N82" s="42"/>
      <c r="O82" s="42"/>
      <c r="P82" s="61">
        <f t="shared" si="6"/>
        <v>0</v>
      </c>
      <c r="Q82" s="42"/>
      <c r="R82" s="61">
        <f t="shared" si="7"/>
        <v>0</v>
      </c>
    </row>
    <row r="83" spans="1:18">
      <c r="B83" s="43" t="s">
        <v>126</v>
      </c>
      <c r="C83" s="58"/>
      <c r="D83" s="56"/>
      <c r="E83" s="58"/>
      <c r="F83" s="51"/>
      <c r="G83" s="58"/>
      <c r="H83" s="56"/>
      <c r="I83" s="58"/>
      <c r="J83" s="51"/>
      <c r="K83" s="58"/>
      <c r="L83" s="56"/>
      <c r="M83" s="58"/>
      <c r="N83" s="42"/>
      <c r="O83" s="42"/>
      <c r="P83" s="61">
        <f t="shared" si="6"/>
        <v>0</v>
      </c>
      <c r="Q83" s="42"/>
      <c r="R83" s="61">
        <f t="shared" si="7"/>
        <v>0</v>
      </c>
    </row>
    <row r="84" spans="1:18">
      <c r="B84" s="43" t="s">
        <v>127</v>
      </c>
      <c r="C84" s="58"/>
      <c r="D84" s="56"/>
      <c r="E84" s="58"/>
      <c r="F84" s="51"/>
      <c r="G84" s="58"/>
      <c r="H84" s="56"/>
      <c r="I84" s="58"/>
      <c r="J84" s="51"/>
      <c r="K84" s="58"/>
      <c r="L84" s="56"/>
      <c r="M84" s="58"/>
      <c r="N84" s="42"/>
      <c r="O84" s="42"/>
      <c r="P84" s="61">
        <f t="shared" si="6"/>
        <v>0</v>
      </c>
      <c r="Q84" s="56"/>
      <c r="R84" s="61">
        <f t="shared" si="7"/>
        <v>0</v>
      </c>
    </row>
    <row r="85" spans="1:18">
      <c r="B85" s="43" t="s">
        <v>128</v>
      </c>
      <c r="C85" s="58"/>
      <c r="D85" s="56"/>
      <c r="E85" s="58"/>
      <c r="F85" s="51"/>
      <c r="G85" s="58"/>
      <c r="H85" s="56"/>
      <c r="I85" s="58"/>
      <c r="J85" s="51"/>
      <c r="K85" s="58"/>
      <c r="L85" s="56"/>
      <c r="M85" s="58"/>
      <c r="N85" s="42"/>
      <c r="O85" s="42"/>
      <c r="P85" s="61">
        <f t="shared" si="6"/>
        <v>0</v>
      </c>
      <c r="Q85" s="56"/>
      <c r="R85" s="61">
        <f t="shared" si="7"/>
        <v>0</v>
      </c>
    </row>
    <row r="86" spans="1:18">
      <c r="B86" s="43" t="s">
        <v>129</v>
      </c>
      <c r="C86" s="58"/>
      <c r="D86" s="56"/>
      <c r="E86" s="58"/>
      <c r="F86" s="51"/>
      <c r="G86" s="58"/>
      <c r="H86" s="56"/>
      <c r="I86" s="58"/>
      <c r="J86" s="51"/>
      <c r="K86" s="58"/>
      <c r="L86" s="56"/>
      <c r="M86" s="58"/>
      <c r="N86" s="42"/>
      <c r="O86" s="42"/>
      <c r="P86" s="61">
        <f t="shared" si="6"/>
        <v>0</v>
      </c>
      <c r="Q86" s="56"/>
      <c r="R86" s="61">
        <f t="shared" si="7"/>
        <v>0</v>
      </c>
    </row>
    <row r="87" spans="1:18">
      <c r="B87" s="43" t="s">
        <v>130</v>
      </c>
      <c r="C87" s="58"/>
      <c r="D87" s="56"/>
      <c r="E87" s="58"/>
      <c r="F87" s="51"/>
      <c r="G87" s="58"/>
      <c r="H87" s="56"/>
      <c r="I87" s="58"/>
      <c r="J87" s="51"/>
      <c r="K87" s="58"/>
      <c r="L87" s="56"/>
      <c r="M87" s="58"/>
      <c r="N87" s="42"/>
      <c r="O87" s="42"/>
      <c r="P87" s="61">
        <f t="shared" si="6"/>
        <v>0</v>
      </c>
      <c r="Q87" s="56"/>
      <c r="R87" s="61">
        <f t="shared" si="7"/>
        <v>0</v>
      </c>
    </row>
    <row r="88" spans="1:18">
      <c r="B88" s="43" t="s">
        <v>131</v>
      </c>
      <c r="C88" s="58"/>
      <c r="D88" s="56"/>
      <c r="E88" s="58"/>
      <c r="F88" s="51"/>
      <c r="G88" s="58"/>
      <c r="H88" s="56"/>
      <c r="I88" s="58"/>
      <c r="J88" s="51"/>
      <c r="K88" s="58"/>
      <c r="L88" s="56"/>
      <c r="M88" s="58"/>
      <c r="N88" s="42"/>
      <c r="O88" s="42"/>
      <c r="P88" s="61">
        <f t="shared" si="6"/>
        <v>0</v>
      </c>
      <c r="Q88" s="56"/>
      <c r="R88" s="61">
        <f t="shared" si="7"/>
        <v>0</v>
      </c>
    </row>
    <row r="89" spans="1:18">
      <c r="B89" s="43" t="s">
        <v>52</v>
      </c>
      <c r="C89" s="58"/>
      <c r="D89" s="56"/>
      <c r="E89" s="58"/>
      <c r="F89" s="51"/>
      <c r="G89" s="58"/>
      <c r="H89" s="56"/>
      <c r="I89" s="58"/>
      <c r="J89" s="51"/>
      <c r="K89" s="58"/>
      <c r="L89" s="56"/>
      <c r="M89" s="58"/>
      <c r="N89" s="42"/>
      <c r="O89" s="42"/>
      <c r="P89" s="61">
        <f t="shared" si="6"/>
        <v>0</v>
      </c>
      <c r="Q89" s="56"/>
      <c r="R89" s="61">
        <f t="shared" si="7"/>
        <v>0</v>
      </c>
    </row>
    <row r="90" spans="1:18">
      <c r="C90" s="56"/>
      <c r="D90" s="56"/>
      <c r="E90" s="56"/>
      <c r="F90" s="51"/>
      <c r="G90" s="56"/>
      <c r="H90" s="56"/>
      <c r="I90" s="56"/>
      <c r="J90" s="51"/>
      <c r="K90" s="56"/>
      <c r="L90" s="56"/>
      <c r="M90" s="56"/>
      <c r="N90" s="42"/>
      <c r="O90" s="42"/>
      <c r="P90" s="56"/>
      <c r="Q90" s="56"/>
      <c r="R90" s="56"/>
    </row>
    <row r="91" spans="1:18">
      <c r="B91" s="43" t="s">
        <v>187</v>
      </c>
      <c r="C91" s="61">
        <f>SUM(C76:C89)</f>
        <v>0</v>
      </c>
      <c r="D91" s="44"/>
      <c r="E91" s="61">
        <f>SUM(E76:E89)</f>
        <v>0</v>
      </c>
      <c r="F91" s="44"/>
      <c r="G91" s="61">
        <f>SUM(G76:G89)</f>
        <v>0</v>
      </c>
      <c r="H91" s="44"/>
      <c r="I91" s="61">
        <f>SUM(I76:I89)</f>
        <v>0</v>
      </c>
      <c r="J91" s="44"/>
      <c r="K91" s="61">
        <f>SUM(K76:K89)</f>
        <v>0</v>
      </c>
      <c r="L91"/>
      <c r="M91" s="61">
        <f>SUM(M76:M89)</f>
        <v>0</v>
      </c>
      <c r="N91"/>
      <c r="P91" s="61">
        <f>SUM(P76:P89)</f>
        <v>0</v>
      </c>
      <c r="Q91" s="56"/>
      <c r="R91" s="61">
        <f>SUM(R76:R89)</f>
        <v>0</v>
      </c>
    </row>
    <row r="93" spans="1:18">
      <c r="A93" s="43" t="s">
        <v>23</v>
      </c>
      <c r="B93" s="57" t="s">
        <v>24</v>
      </c>
      <c r="C93" s="51"/>
      <c r="D93" s="51"/>
      <c r="E93" s="51"/>
      <c r="F93" s="51"/>
      <c r="G93" s="51"/>
      <c r="H93" s="51"/>
      <c r="I93" s="51"/>
      <c r="J93" s="51"/>
      <c r="K93" s="51"/>
      <c r="L93" s="42"/>
      <c r="M93" s="51"/>
      <c r="N93" s="42"/>
      <c r="O93" s="42"/>
      <c r="P93" s="51"/>
      <c r="Q93" s="42"/>
      <c r="R93" s="51"/>
    </row>
    <row r="94" spans="1:18">
      <c r="B94" s="43" t="s">
        <v>104</v>
      </c>
      <c r="C94" s="58"/>
      <c r="D94" s="56"/>
      <c r="E94" s="58"/>
      <c r="F94" s="51"/>
      <c r="G94" s="58"/>
      <c r="H94" s="56"/>
      <c r="I94" s="58"/>
      <c r="J94" s="51"/>
      <c r="K94" s="58"/>
      <c r="L94" s="56"/>
      <c r="M94" s="58"/>
      <c r="N94" s="42"/>
      <c r="O94" s="42"/>
      <c r="P94" s="61">
        <f>C94+G94+K94</f>
        <v>0</v>
      </c>
      <c r="Q94" s="42"/>
      <c r="R94" s="61">
        <f>E94+I94+M94</f>
        <v>0</v>
      </c>
    </row>
    <row r="95" spans="1:18">
      <c r="B95" s="43" t="s">
        <v>152</v>
      </c>
      <c r="C95" s="58"/>
      <c r="D95" s="56"/>
      <c r="E95" s="58"/>
      <c r="F95" s="51"/>
      <c r="G95" s="58"/>
      <c r="H95" s="56"/>
      <c r="I95" s="58"/>
      <c r="J95" s="51"/>
      <c r="K95" s="58"/>
      <c r="L95" s="56"/>
      <c r="M95" s="58"/>
      <c r="N95" s="42"/>
      <c r="O95" s="42"/>
      <c r="P95" s="61">
        <f t="shared" ref="P95:P106" si="8">C95+G95+K95</f>
        <v>0</v>
      </c>
      <c r="Q95" s="42"/>
      <c r="R95" s="61">
        <f t="shared" ref="R95:R107" si="9">E95+I95+M95</f>
        <v>0</v>
      </c>
    </row>
    <row r="96" spans="1:18">
      <c r="B96" s="43" t="s">
        <v>153</v>
      </c>
      <c r="C96" s="58"/>
      <c r="D96" s="56"/>
      <c r="E96" s="58"/>
      <c r="F96" s="51"/>
      <c r="G96" s="58"/>
      <c r="H96" s="56"/>
      <c r="I96" s="58"/>
      <c r="J96" s="51"/>
      <c r="K96" s="58"/>
      <c r="L96" s="56"/>
      <c r="M96" s="58"/>
      <c r="N96" s="42"/>
      <c r="O96" s="42"/>
      <c r="P96" s="61">
        <f t="shared" si="8"/>
        <v>0</v>
      </c>
      <c r="Q96" s="42"/>
      <c r="R96" s="61">
        <f t="shared" si="9"/>
        <v>0</v>
      </c>
    </row>
    <row r="97" spans="2:25">
      <c r="B97" s="59" t="s">
        <v>151</v>
      </c>
      <c r="C97" s="58"/>
      <c r="D97" s="56"/>
      <c r="E97" s="58"/>
      <c r="F97" s="51"/>
      <c r="G97" s="58"/>
      <c r="H97" s="56"/>
      <c r="I97" s="58"/>
      <c r="J97" s="51"/>
      <c r="K97" s="58"/>
      <c r="L97" s="56"/>
      <c r="M97" s="58"/>
      <c r="N97" s="42"/>
      <c r="O97" s="42"/>
      <c r="P97" s="61">
        <f t="shared" si="8"/>
        <v>0</v>
      </c>
      <c r="Q97" s="42"/>
      <c r="R97" s="61">
        <f t="shared" si="9"/>
        <v>0</v>
      </c>
    </row>
    <row r="98" spans="2:25">
      <c r="B98" s="43" t="s">
        <v>123</v>
      </c>
      <c r="C98" s="58"/>
      <c r="D98" s="56"/>
      <c r="E98" s="58"/>
      <c r="F98" s="51"/>
      <c r="G98" s="58"/>
      <c r="H98" s="56"/>
      <c r="I98" s="58"/>
      <c r="J98" s="51"/>
      <c r="K98" s="58"/>
      <c r="L98" s="56"/>
      <c r="M98" s="58"/>
      <c r="N98" s="42"/>
      <c r="O98" s="42"/>
      <c r="P98" s="61">
        <f t="shared" si="8"/>
        <v>0</v>
      </c>
      <c r="Q98" s="42"/>
      <c r="R98" s="61">
        <f t="shared" si="9"/>
        <v>0</v>
      </c>
    </row>
    <row r="99" spans="2:25">
      <c r="B99" s="43" t="s">
        <v>124</v>
      </c>
      <c r="C99" s="58"/>
      <c r="D99" s="56"/>
      <c r="E99" s="58"/>
      <c r="F99" s="51"/>
      <c r="G99" s="58"/>
      <c r="H99" s="56"/>
      <c r="I99" s="58"/>
      <c r="J99" s="51"/>
      <c r="K99" s="58"/>
      <c r="L99" s="56"/>
      <c r="M99" s="58"/>
      <c r="N99" s="42"/>
      <c r="O99" s="42"/>
      <c r="P99" s="61">
        <f t="shared" si="8"/>
        <v>0</v>
      </c>
      <c r="Q99" s="42"/>
      <c r="R99" s="61">
        <f t="shared" si="9"/>
        <v>0</v>
      </c>
    </row>
    <row r="100" spans="2:25">
      <c r="B100" s="43" t="s">
        <v>125</v>
      </c>
      <c r="C100" s="58"/>
      <c r="D100" s="56"/>
      <c r="E100" s="58"/>
      <c r="F100" s="51"/>
      <c r="G100" s="58"/>
      <c r="H100" s="56"/>
      <c r="I100" s="58"/>
      <c r="J100" s="51"/>
      <c r="K100" s="58"/>
      <c r="L100" s="56"/>
      <c r="M100" s="58"/>
      <c r="N100" s="42"/>
      <c r="O100" s="42"/>
      <c r="P100" s="61">
        <f t="shared" si="8"/>
        <v>0</v>
      </c>
      <c r="Q100" s="42"/>
      <c r="R100" s="61">
        <f t="shared" si="9"/>
        <v>0</v>
      </c>
    </row>
    <row r="101" spans="2:25">
      <c r="B101" s="43" t="s">
        <v>126</v>
      </c>
      <c r="C101" s="58"/>
      <c r="D101" s="56"/>
      <c r="E101" s="58"/>
      <c r="F101" s="51"/>
      <c r="G101" s="58"/>
      <c r="H101" s="56"/>
      <c r="I101" s="58"/>
      <c r="J101" s="51"/>
      <c r="K101" s="58"/>
      <c r="L101" s="56"/>
      <c r="M101" s="58"/>
      <c r="N101" s="42"/>
      <c r="O101" s="42"/>
      <c r="P101" s="61">
        <f t="shared" si="8"/>
        <v>0</v>
      </c>
      <c r="Q101" s="42"/>
      <c r="R101" s="61">
        <f t="shared" si="9"/>
        <v>0</v>
      </c>
    </row>
    <row r="102" spans="2:25">
      <c r="B102" s="43" t="s">
        <v>127</v>
      </c>
      <c r="C102" s="58"/>
      <c r="D102" s="56"/>
      <c r="E102" s="58"/>
      <c r="F102" s="51"/>
      <c r="G102" s="58"/>
      <c r="H102" s="56"/>
      <c r="I102" s="58"/>
      <c r="J102" s="51"/>
      <c r="K102" s="58"/>
      <c r="L102" s="56"/>
      <c r="M102" s="58"/>
      <c r="N102" s="42"/>
      <c r="O102" s="42"/>
      <c r="P102" s="61">
        <f t="shared" si="8"/>
        <v>0</v>
      </c>
      <c r="Q102" s="42"/>
      <c r="R102" s="61">
        <f t="shared" si="9"/>
        <v>0</v>
      </c>
    </row>
    <row r="103" spans="2:25">
      <c r="B103" s="43" t="s">
        <v>128</v>
      </c>
      <c r="C103" s="58"/>
      <c r="D103" s="56"/>
      <c r="E103" s="58"/>
      <c r="F103" s="51"/>
      <c r="G103" s="58"/>
      <c r="H103" s="56"/>
      <c r="I103" s="58"/>
      <c r="J103" s="51"/>
      <c r="K103" s="58"/>
      <c r="L103" s="56"/>
      <c r="M103" s="58"/>
      <c r="N103" s="42"/>
      <c r="O103" s="42"/>
      <c r="P103" s="61">
        <f t="shared" si="8"/>
        <v>0</v>
      </c>
      <c r="Q103" s="42"/>
      <c r="R103" s="61">
        <f t="shared" si="9"/>
        <v>0</v>
      </c>
    </row>
    <row r="104" spans="2:25">
      <c r="B104" s="43" t="s">
        <v>129</v>
      </c>
      <c r="C104" s="58"/>
      <c r="D104" s="56"/>
      <c r="E104" s="58"/>
      <c r="F104" s="51"/>
      <c r="G104" s="58"/>
      <c r="H104" s="56"/>
      <c r="I104" s="58"/>
      <c r="J104" s="51"/>
      <c r="K104" s="58"/>
      <c r="L104" s="56"/>
      <c r="M104" s="58"/>
      <c r="N104" s="42"/>
      <c r="O104" s="42"/>
      <c r="P104" s="61">
        <f t="shared" si="8"/>
        <v>0</v>
      </c>
      <c r="Q104" s="42"/>
      <c r="R104" s="61">
        <f t="shared" si="9"/>
        <v>0</v>
      </c>
    </row>
    <row r="105" spans="2:25">
      <c r="B105" s="43" t="s">
        <v>130</v>
      </c>
      <c r="C105" s="58"/>
      <c r="D105" s="56"/>
      <c r="E105" s="58"/>
      <c r="F105" s="51"/>
      <c r="G105" s="58"/>
      <c r="H105" s="56"/>
      <c r="I105" s="58"/>
      <c r="J105" s="51"/>
      <c r="K105" s="58"/>
      <c r="L105" s="56"/>
      <c r="M105" s="58"/>
      <c r="N105" s="42"/>
      <c r="O105" s="42"/>
      <c r="P105" s="61">
        <f t="shared" si="8"/>
        <v>0</v>
      </c>
      <c r="Q105" s="42"/>
      <c r="R105" s="61">
        <f t="shared" si="9"/>
        <v>0</v>
      </c>
    </row>
    <row r="106" spans="2:25">
      <c r="B106" s="43" t="s">
        <v>131</v>
      </c>
      <c r="C106" s="58"/>
      <c r="D106" s="56"/>
      <c r="E106" s="58"/>
      <c r="F106" s="51"/>
      <c r="G106" s="58"/>
      <c r="H106" s="56"/>
      <c r="I106" s="58"/>
      <c r="J106" s="51"/>
      <c r="K106" s="58"/>
      <c r="L106" s="56"/>
      <c r="M106" s="58"/>
      <c r="N106" s="42"/>
      <c r="O106" s="42"/>
      <c r="P106" s="61">
        <f t="shared" si="8"/>
        <v>0</v>
      </c>
      <c r="Q106" s="42"/>
      <c r="R106" s="61">
        <f t="shared" si="9"/>
        <v>0</v>
      </c>
    </row>
    <row r="107" spans="2:25">
      <c r="B107" s="43" t="s">
        <v>52</v>
      </c>
      <c r="C107" s="58"/>
      <c r="D107" s="56"/>
      <c r="E107" s="58"/>
      <c r="F107" s="51"/>
      <c r="G107" s="58"/>
      <c r="H107" s="56"/>
      <c r="I107" s="58"/>
      <c r="J107" s="51"/>
      <c r="K107" s="58"/>
      <c r="L107" s="56"/>
      <c r="M107" s="58"/>
      <c r="N107" s="42"/>
      <c r="O107" s="42"/>
      <c r="P107" s="61">
        <f>C107+G107+K107</f>
        <v>0</v>
      </c>
      <c r="Q107" s="56"/>
      <c r="R107" s="61">
        <f t="shared" si="9"/>
        <v>0</v>
      </c>
    </row>
    <row r="108" spans="2:25">
      <c r="C108" s="56"/>
      <c r="D108" s="56"/>
      <c r="E108" s="56"/>
      <c r="F108" s="51"/>
      <c r="G108" s="56"/>
      <c r="H108" s="56"/>
      <c r="I108" s="56"/>
      <c r="J108" s="51"/>
      <c r="K108" s="56"/>
      <c r="L108" s="56"/>
      <c r="M108" s="56"/>
      <c r="N108" s="42"/>
      <c r="O108" s="42"/>
      <c r="P108" s="56"/>
      <c r="Q108" s="56"/>
      <c r="R108" s="56"/>
    </row>
    <row r="109" spans="2:25">
      <c r="B109" s="43" t="s">
        <v>187</v>
      </c>
      <c r="C109" s="61">
        <f>SUM(C94:C107)</f>
        <v>0</v>
      </c>
      <c r="D109" s="44"/>
      <c r="E109" s="61">
        <f>SUM(E94:E107)</f>
        <v>0</v>
      </c>
      <c r="F109" s="44"/>
      <c r="G109" s="61">
        <f>SUM(G94:G107)</f>
        <v>0</v>
      </c>
      <c r="H109" s="44"/>
      <c r="I109" s="61">
        <f>SUM(I94:I107)</f>
        <v>0</v>
      </c>
      <c r="J109" s="44"/>
      <c r="K109" s="61">
        <f>SUM(K94:K107)</f>
        <v>0</v>
      </c>
      <c r="L109"/>
      <c r="M109" s="61">
        <f>SUM(M94:M107)</f>
        <v>0</v>
      </c>
      <c r="N109"/>
      <c r="P109" s="61">
        <f>SUM(P94:P107)</f>
        <v>0</v>
      </c>
      <c r="Q109" s="56"/>
      <c r="R109" s="61">
        <f>SUM(R94:R107)</f>
        <v>0</v>
      </c>
    </row>
    <row r="111" spans="2:25">
      <c r="B111" s="45" t="s">
        <v>26</v>
      </c>
      <c r="C111" s="69">
        <f>SUM(C34+C53+C72+C91+C109)</f>
        <v>0</v>
      </c>
      <c r="D111" s="53"/>
      <c r="E111" s="69">
        <f>SUM(E34+E53+E72+E91+E109)</f>
        <v>0</v>
      </c>
      <c r="F111" s="45"/>
      <c r="G111" s="69">
        <f>SUM(G34+G53+G72+G91+G109)</f>
        <v>0</v>
      </c>
      <c r="H111" s="53"/>
      <c r="I111" s="69">
        <f>SUM(I34+I53+I72+I91+I109)</f>
        <v>0</v>
      </c>
      <c r="J111" s="45"/>
      <c r="K111" s="69">
        <f>SUM(K34+K53+K72+K91+K109)</f>
        <v>0</v>
      </c>
      <c r="L111" s="53"/>
      <c r="M111" s="69">
        <f>SUM(M34+M53+M72+M91+M109)</f>
        <v>0</v>
      </c>
      <c r="N111" s="53"/>
      <c r="O111" s="53"/>
      <c r="P111" s="69">
        <f>SUM(P34+P53+P72+P91+P109)</f>
        <v>0</v>
      </c>
      <c r="Q111" s="53"/>
      <c r="R111" s="69">
        <f>SUM(R34+R53+R72+R91+R109)</f>
        <v>0</v>
      </c>
    </row>
    <row r="112" spans="2:25">
      <c r="V112" s="43" t="s">
        <v>25</v>
      </c>
      <c r="W112" s="43" t="s">
        <v>25</v>
      </c>
      <c r="X112" s="43" t="s">
        <v>25</v>
      </c>
      <c r="Y112" s="43" t="s">
        <v>25</v>
      </c>
    </row>
    <row r="113" spans="22:25">
      <c r="V113" s="43" t="s">
        <v>25</v>
      </c>
      <c r="W113" s="43" t="s">
        <v>25</v>
      </c>
      <c r="X113" s="43" t="s">
        <v>25</v>
      </c>
      <c r="Y113" s="43" t="s">
        <v>25</v>
      </c>
    </row>
  </sheetData>
  <sheetProtection algorithmName="SHA-512" hashValue="m65rCD13tM9K0baMt2KQbX+hr11dQ8/gENXVKQkiVXuMivkb/MIa4imCt4BNffXgbpt27N1+bE75P5+yl6CfdA==" saltValue="le0aMlcSrXb7veDsm0zxRQ==" spinCount="100000" sheet="1" selectLockedCells="1"/>
  <customSheetViews>
    <customSheetView guid="{6BAB6937-F4A7-406E-B6D7-F3AB26E9CB76}" showPageBreaks="1" showGridLines="0" printArea="1" topLeftCell="A13">
      <selection activeCell="Z112" sqref="Z112"/>
      <rowBreaks count="1" manualBreakCount="1">
        <brk id="73" max="18" man="1"/>
      </rowBreaks>
      <pageMargins left="0" right="0" top="0.57999999999999996" bottom="1.25" header="0.17" footer="0.28000000000000003"/>
      <printOptions horizontalCentered="1"/>
      <pageSetup paperSize="9" scale="71" orientation="portrait" r:id="rId1"/>
      <headerFooter alignWithMargins="0"/>
    </customSheetView>
    <customSheetView guid="{6FD7F56A-E857-4CED-A5A1-7DEC8753A8FB}" showGridLines="0" topLeftCell="A13">
      <selection activeCell="Z112" sqref="Z112"/>
      <rowBreaks count="1" manualBreakCount="1">
        <brk id="73" max="18" man="1"/>
      </rowBreaks>
      <pageMargins left="0" right="0" top="0.57999999999999996" bottom="1.25" header="0.17" footer="0.28000000000000003"/>
      <printOptions horizontalCentered="1"/>
      <pageSetup paperSize="9" scale="71" orientation="portrait" r:id="rId2"/>
      <headerFooter alignWithMargins="0"/>
    </customSheetView>
    <customSheetView guid="{91D31259-BF8C-4449-A829-EAD5467CE226}" showGridLines="0" topLeftCell="A13">
      <selection activeCell="Z112" sqref="Z112"/>
      <rowBreaks count="1" manualBreakCount="1">
        <brk id="73" max="18" man="1"/>
      </rowBreaks>
      <pageMargins left="0" right="0" top="0.57999999999999996" bottom="1.25" header="0.17" footer="0.28000000000000003"/>
      <printOptions horizontalCentered="1"/>
      <pageSetup paperSize="9" scale="71" orientation="portrait" r:id="rId3"/>
      <headerFooter alignWithMargins="0"/>
    </customSheetView>
  </customSheetViews>
  <dataValidations count="1">
    <dataValidation type="decimal" allowBlank="1" showInputMessage="1" showErrorMessage="1" errorTitle="Validation Error" error="Incorrect data type (numbers/decimal only)" sqref="C38:R52 C57:R71 C76:R90 C94:R108 C19:R33" xr:uid="{00000000-0002-0000-0A00-000000000000}">
      <formula1>0</formula1>
      <formula2>9.99999999999999E+32</formula2>
    </dataValidation>
  </dataValidations>
  <printOptions horizontalCentered="1" gridLinesSet="0"/>
  <pageMargins left="0" right="0" top="0.57999999999999996" bottom="1.25" header="0.17" footer="0.28000000000000003"/>
  <pageSetup paperSize="9" scale="71" orientation="portrait" r:id="rId4"/>
  <headerFooter alignWithMargins="0"/>
  <rowBreaks count="1" manualBreakCount="1">
    <brk id="73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pageSetUpPr fitToPage="1"/>
  </sheetPr>
  <dimension ref="A1:T33"/>
  <sheetViews>
    <sheetView showGridLines="0" zoomScaleNormal="100" workbookViewId="0">
      <selection activeCell="K30" sqref="K30"/>
    </sheetView>
  </sheetViews>
  <sheetFormatPr defaultColWidth="8.85546875" defaultRowHeight="12.75"/>
  <cols>
    <col min="1" max="1" width="21.42578125" style="35" bestFit="1" customWidth="1"/>
    <col min="2" max="2" width="7.85546875" style="9" customWidth="1"/>
    <col min="3" max="3" width="6.42578125" style="9" customWidth="1"/>
    <col min="4" max="4" width="1.5703125" style="9" customWidth="1"/>
    <col min="5" max="5" width="12.42578125" style="9" customWidth="1"/>
    <col min="6" max="6" width="1.85546875" style="9" customWidth="1"/>
    <col min="7" max="7" width="7.5703125" style="9" customWidth="1"/>
    <col min="8" max="8" width="1.5703125" style="9" customWidth="1"/>
    <col min="9" max="9" width="10.140625" style="9" customWidth="1"/>
    <col min="10" max="10" width="1.85546875" style="9" customWidth="1"/>
    <col min="11" max="11" width="5.42578125" style="9" customWidth="1"/>
    <col min="12" max="12" width="3.140625" style="9" customWidth="1"/>
    <col min="13" max="13" width="13.42578125" style="9" customWidth="1"/>
    <col min="14" max="14" width="2.5703125" style="9" customWidth="1"/>
    <col min="15" max="15" width="2.42578125" style="9" customWidth="1"/>
    <col min="16" max="16" width="5.5703125" style="9" customWidth="1"/>
    <col min="17" max="17" width="2" style="9" customWidth="1"/>
    <col min="18" max="18" width="22.85546875" style="9" customWidth="1"/>
    <col min="19" max="20" width="8.85546875" style="9" customWidth="1"/>
    <col min="21" max="61" width="9.140625" style="9" customWidth="1"/>
    <col min="62" max="16384" width="8.85546875" style="9"/>
  </cols>
  <sheetData>
    <row r="1" spans="1:20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72" t="s">
        <v>190</v>
      </c>
    </row>
    <row r="2" spans="1:20">
      <c r="A2" s="21"/>
      <c r="B2" s="21"/>
      <c r="C2" s="21"/>
      <c r="D2" s="21"/>
      <c r="E2" s="21"/>
      <c r="F2" s="21"/>
      <c r="G2" s="21"/>
      <c r="H2" s="21"/>
      <c r="M2" s="21"/>
      <c r="N2" s="21"/>
      <c r="O2" s="21"/>
      <c r="P2" s="21"/>
      <c r="Q2" s="21"/>
      <c r="R2" s="21"/>
      <c r="S2" s="21"/>
    </row>
    <row r="3" spans="1:20" ht="15.75">
      <c r="A3" s="200" t="s">
        <v>0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1"/>
      <c r="T3" s="21"/>
    </row>
    <row r="4" spans="1:20" ht="15.75">
      <c r="A4" s="197" t="s">
        <v>100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1"/>
      <c r="T4" s="21"/>
    </row>
    <row r="5" spans="1:20" ht="15.75">
      <c r="A5" s="197" t="s">
        <v>68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1"/>
      <c r="T5" s="21"/>
    </row>
    <row r="6" spans="1:20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9" spans="1:20">
      <c r="A9" s="64" t="s">
        <v>36</v>
      </c>
      <c r="B9" s="64"/>
      <c r="C9" s="90" t="s">
        <v>12</v>
      </c>
      <c r="D9" s="91"/>
      <c r="E9" s="90" t="s">
        <v>56</v>
      </c>
      <c r="F9" s="73"/>
      <c r="G9" s="90" t="s">
        <v>12</v>
      </c>
      <c r="H9" s="91"/>
      <c r="I9" s="90" t="s">
        <v>56</v>
      </c>
      <c r="J9" s="33"/>
      <c r="K9" s="90" t="s">
        <v>12</v>
      </c>
      <c r="L9" s="91"/>
      <c r="M9" s="90" t="s">
        <v>57</v>
      </c>
      <c r="N9" s="73"/>
      <c r="O9" s="73"/>
      <c r="P9" s="90" t="s">
        <v>12</v>
      </c>
      <c r="Q9" s="91"/>
      <c r="R9" s="90" t="s">
        <v>37</v>
      </c>
      <c r="S9" s="21"/>
      <c r="T9" s="21"/>
    </row>
    <row r="10" spans="1:20">
      <c r="A10" s="64" t="s">
        <v>38</v>
      </c>
      <c r="B10" s="64"/>
      <c r="C10" s="90"/>
      <c r="D10" s="91"/>
      <c r="E10" s="90" t="s">
        <v>53</v>
      </c>
      <c r="F10" s="73"/>
      <c r="G10" s="90"/>
      <c r="H10" s="91"/>
      <c r="I10" s="90" t="s">
        <v>55</v>
      </c>
      <c r="J10" s="33"/>
      <c r="K10" s="90"/>
      <c r="L10" s="91"/>
      <c r="M10" s="90" t="s">
        <v>54</v>
      </c>
      <c r="N10" s="73"/>
      <c r="O10" s="73"/>
      <c r="P10" s="90"/>
      <c r="Q10" s="91"/>
      <c r="R10" s="90" t="s">
        <v>58</v>
      </c>
      <c r="S10" s="21"/>
      <c r="T10" s="21"/>
    </row>
    <row r="11" spans="1:20">
      <c r="A11" s="33"/>
      <c r="B11" s="33"/>
      <c r="C11" s="92" t="s">
        <v>39</v>
      </c>
      <c r="D11" s="93"/>
      <c r="E11" s="94" t="s">
        <v>14</v>
      </c>
      <c r="G11" s="92" t="s">
        <v>39</v>
      </c>
      <c r="H11" s="93"/>
      <c r="I11" s="94" t="s">
        <v>14</v>
      </c>
      <c r="J11" s="33"/>
      <c r="K11" s="92" t="s">
        <v>39</v>
      </c>
      <c r="L11" s="93"/>
      <c r="M11" s="94" t="s">
        <v>14</v>
      </c>
      <c r="N11" s="74"/>
      <c r="O11" s="74"/>
      <c r="P11" s="92" t="s">
        <v>39</v>
      </c>
      <c r="Q11" s="93"/>
      <c r="R11" s="94" t="s">
        <v>14</v>
      </c>
      <c r="S11" s="21"/>
      <c r="T11" s="21"/>
    </row>
    <row r="12" spans="1:20">
      <c r="A12" s="21"/>
    </row>
    <row r="13" spans="1:20">
      <c r="A13" s="21"/>
    </row>
    <row r="14" spans="1:20">
      <c r="A14" s="72" t="s">
        <v>92</v>
      </c>
      <c r="B14" s="21"/>
      <c r="C14" s="16"/>
      <c r="D14" s="17"/>
      <c r="E14" s="16"/>
      <c r="G14" s="16"/>
      <c r="I14" s="16"/>
      <c r="K14" s="16"/>
      <c r="M14" s="16"/>
      <c r="P14" s="70">
        <f>C14+G14+K14</f>
        <v>0</v>
      </c>
      <c r="R14" s="70">
        <f>E14+I14+M14</f>
        <v>0</v>
      </c>
    </row>
    <row r="15" spans="1:20">
      <c r="A15" s="75"/>
      <c r="B15" s="21"/>
      <c r="C15" s="17"/>
      <c r="D15" s="17"/>
      <c r="E15" s="17"/>
      <c r="G15" s="17"/>
      <c r="I15" s="17"/>
      <c r="P15" s="17"/>
      <c r="R15" s="17"/>
    </row>
    <row r="16" spans="1:20">
      <c r="A16" s="72" t="s">
        <v>93</v>
      </c>
      <c r="B16" s="21"/>
      <c r="C16" s="16"/>
      <c r="D16" s="17"/>
      <c r="E16" s="16"/>
      <c r="G16" s="16"/>
      <c r="I16" s="16"/>
      <c r="K16" s="16"/>
      <c r="M16" s="16"/>
      <c r="P16" s="70">
        <f>C16+G16+K16</f>
        <v>0</v>
      </c>
      <c r="R16" s="70">
        <f>E16+I16+M16</f>
        <v>0</v>
      </c>
    </row>
    <row r="17" spans="1:20">
      <c r="A17" s="72"/>
      <c r="B17" s="21"/>
      <c r="C17"/>
      <c r="D17"/>
      <c r="E17"/>
      <c r="F17"/>
      <c r="G17"/>
      <c r="H17"/>
      <c r="I17"/>
      <c r="J17"/>
      <c r="K17"/>
      <c r="L17"/>
      <c r="M17"/>
      <c r="P17" s="17"/>
      <c r="R17" s="17"/>
    </row>
    <row r="18" spans="1:20">
      <c r="A18" s="72" t="s">
        <v>111</v>
      </c>
      <c r="B18" s="21"/>
      <c r="C18" s="16"/>
      <c r="D18" s="17"/>
      <c r="E18" s="16"/>
      <c r="G18" s="16"/>
      <c r="I18" s="16"/>
      <c r="K18" s="16"/>
      <c r="M18" s="16"/>
      <c r="P18" s="70">
        <f>C18+G18+K18</f>
        <v>0</v>
      </c>
      <c r="R18" s="70">
        <f>E18+I18+M18</f>
        <v>0</v>
      </c>
    </row>
    <row r="19" spans="1:20">
      <c r="A19" s="72"/>
      <c r="B19" s="21"/>
      <c r="C19"/>
      <c r="D19"/>
      <c r="E19"/>
      <c r="F19"/>
      <c r="G19"/>
      <c r="H19"/>
      <c r="I19"/>
      <c r="J19"/>
      <c r="K19"/>
      <c r="L19"/>
      <c r="M19"/>
      <c r="P19" s="17"/>
      <c r="R19" s="17"/>
    </row>
    <row r="20" spans="1:20">
      <c r="A20" s="72" t="s">
        <v>94</v>
      </c>
      <c r="B20" s="21"/>
      <c r="C20" s="16"/>
      <c r="D20" s="17"/>
      <c r="E20" s="16"/>
      <c r="G20" s="16"/>
      <c r="I20" s="16"/>
      <c r="K20" s="16"/>
      <c r="M20" s="16"/>
      <c r="P20" s="70">
        <f>C20+G20+K20</f>
        <v>0</v>
      </c>
      <c r="R20" s="70">
        <f>E20+I20+M20</f>
        <v>0</v>
      </c>
    </row>
    <row r="21" spans="1:20">
      <c r="A21" s="72"/>
      <c r="B21" s="21"/>
      <c r="C21"/>
      <c r="D21"/>
      <c r="E21"/>
      <c r="F21"/>
      <c r="G21"/>
      <c r="H21"/>
      <c r="I21"/>
      <c r="J21"/>
      <c r="K21"/>
      <c r="L21"/>
      <c r="M21"/>
      <c r="P21" s="17"/>
      <c r="R21" s="17"/>
    </row>
    <row r="22" spans="1:20">
      <c r="A22" s="72" t="s">
        <v>95</v>
      </c>
      <c r="B22" s="21"/>
      <c r="C22" s="16"/>
      <c r="D22" s="17"/>
      <c r="E22" s="16"/>
      <c r="G22" s="16"/>
      <c r="I22" s="16"/>
      <c r="K22" s="16"/>
      <c r="M22" s="16"/>
      <c r="P22" s="70">
        <f>C22+G22+K22</f>
        <v>0</v>
      </c>
      <c r="R22" s="70">
        <f>E22+I22+M22</f>
        <v>0</v>
      </c>
    </row>
    <row r="23" spans="1:20">
      <c r="A23" s="72"/>
      <c r="B23" s="21"/>
      <c r="C23"/>
      <c r="D23"/>
      <c r="E23"/>
      <c r="F23"/>
      <c r="G23"/>
      <c r="H23"/>
      <c r="I23"/>
      <c r="J23"/>
      <c r="K23"/>
      <c r="L23"/>
      <c r="M23"/>
      <c r="P23" s="17"/>
      <c r="R23" s="17"/>
    </row>
    <row r="24" spans="1:20">
      <c r="A24" s="72" t="s">
        <v>40</v>
      </c>
      <c r="B24" s="21"/>
      <c r="C24" s="16"/>
      <c r="D24" s="17"/>
      <c r="E24" s="16"/>
      <c r="G24" s="16"/>
      <c r="I24" s="16"/>
      <c r="K24" s="16"/>
      <c r="M24" s="16"/>
      <c r="P24" s="70">
        <f>C24+G24+K24</f>
        <v>0</v>
      </c>
      <c r="R24" s="70">
        <f>E24+I24+M24</f>
        <v>0</v>
      </c>
    </row>
    <row r="25" spans="1:20">
      <c r="A25" s="72"/>
      <c r="B25" s="21"/>
      <c r="C25"/>
      <c r="D25"/>
      <c r="E25"/>
      <c r="F25"/>
      <c r="G25"/>
      <c r="H25"/>
      <c r="I25"/>
      <c r="J25"/>
      <c r="K25"/>
      <c r="L25"/>
      <c r="M25"/>
      <c r="P25" s="17"/>
      <c r="R25" s="17"/>
    </row>
    <row r="26" spans="1:20">
      <c r="A26" s="72" t="s">
        <v>41</v>
      </c>
      <c r="B26" s="21"/>
      <c r="C26" s="16"/>
      <c r="D26" s="17"/>
      <c r="E26" s="16"/>
      <c r="G26" s="16"/>
      <c r="I26" s="16"/>
      <c r="K26" s="16"/>
      <c r="M26" s="16"/>
      <c r="P26" s="70">
        <f>C26+G26+K26</f>
        <v>0</v>
      </c>
      <c r="R26" s="70">
        <f>E26+I26+M26</f>
        <v>0</v>
      </c>
    </row>
    <row r="27" spans="1:20">
      <c r="A27" s="72"/>
      <c r="B27" s="21"/>
      <c r="C27"/>
      <c r="D27"/>
      <c r="E27"/>
      <c r="F27"/>
      <c r="G27"/>
      <c r="H27"/>
      <c r="I27"/>
      <c r="J27"/>
      <c r="K27"/>
      <c r="L27"/>
      <c r="M27"/>
      <c r="P27" s="17"/>
      <c r="R27" s="17"/>
    </row>
    <row r="28" spans="1:20">
      <c r="A28" s="72" t="s">
        <v>118</v>
      </c>
      <c r="B28" s="21"/>
      <c r="C28" s="16"/>
      <c r="D28" s="17"/>
      <c r="E28" s="16"/>
      <c r="G28" s="16"/>
      <c r="I28" s="16"/>
      <c r="K28" s="16"/>
      <c r="M28" s="16"/>
      <c r="P28" s="70">
        <f>C28+G28+K28</f>
        <v>0</v>
      </c>
      <c r="R28" s="70">
        <f>E28+I28+M28</f>
        <v>0</v>
      </c>
    </row>
    <row r="29" spans="1:20">
      <c r="A29" s="72"/>
      <c r="B29" s="21"/>
      <c r="C29"/>
      <c r="D29"/>
      <c r="E29"/>
      <c r="F29"/>
      <c r="G29"/>
      <c r="H29"/>
      <c r="I29"/>
      <c r="J29"/>
      <c r="K29"/>
      <c r="L29"/>
      <c r="M29"/>
      <c r="P29" s="17"/>
      <c r="R29" s="17"/>
    </row>
    <row r="30" spans="1:20" ht="12" customHeight="1">
      <c r="A30" s="72" t="s">
        <v>42</v>
      </c>
      <c r="B30" s="21"/>
      <c r="C30" s="16"/>
      <c r="D30" s="17"/>
      <c r="E30" s="16"/>
      <c r="G30" s="16"/>
      <c r="I30" s="16"/>
      <c r="K30" s="16"/>
      <c r="M30" s="16"/>
      <c r="P30" s="70">
        <f>C30+G30+K30</f>
        <v>0</v>
      </c>
      <c r="R30" s="70">
        <f>E30+I30+M30</f>
        <v>0</v>
      </c>
    </row>
    <row r="31" spans="1:20" ht="12" customHeight="1">
      <c r="A31" s="21"/>
      <c r="B31" s="21"/>
      <c r="R31" s="17"/>
    </row>
    <row r="32" spans="1:20" ht="13.5" thickBot="1">
      <c r="A32" s="33" t="s">
        <v>26</v>
      </c>
      <c r="B32" s="21"/>
      <c r="C32" s="14">
        <f>C14+C16+C18+C20+C22+C24+C26</f>
        <v>0</v>
      </c>
      <c r="D32" s="32"/>
      <c r="E32" s="14">
        <f>E14+E16+E18+E20+E22+E24+E26</f>
        <v>0</v>
      </c>
      <c r="F32" s="34"/>
      <c r="G32" s="14">
        <f>G14+G16+G18+G20+G22+G24+G26</f>
        <v>0</v>
      </c>
      <c r="H32" s="34"/>
      <c r="I32" s="18">
        <f>I14+I16+I18+I20+I22+I24+I26</f>
        <v>0</v>
      </c>
      <c r="J32" s="34"/>
      <c r="K32" s="18">
        <f>K14+K16+K18+K20+K22+K24+K26</f>
        <v>0</v>
      </c>
      <c r="L32" s="34"/>
      <c r="M32" s="14">
        <f>M14+M16+M18+M20+M22+M24+M26</f>
        <v>0</v>
      </c>
      <c r="P32" s="18">
        <f>P14+P16+P18+P20+P22+P24+P26</f>
        <v>0</v>
      </c>
      <c r="R32" s="14">
        <f>R14+R16+R18+R20+R22+R24+R26</f>
        <v>0</v>
      </c>
      <c r="S32" s="67"/>
      <c r="T32" s="67"/>
    </row>
    <row r="33" spans="1:16">
      <c r="A33" s="21"/>
      <c r="I33" s="71"/>
      <c r="K33" s="71"/>
      <c r="P33" s="71"/>
    </row>
  </sheetData>
  <sheetProtection algorithmName="SHA-512" hashValue="T58VdURnww/2y/LtKTcx/+pykI0xKcmMomPvO6BBz/QFqgW3/buuDPAStsmmKHwT6u4Yh1fXaa71UK6+kRiR3w==" saltValue="YkG/Z4+97jwYQM2a3pAJDQ==" spinCount="100000" sheet="1" selectLockedCells="1"/>
  <customSheetViews>
    <customSheetView guid="{6BAB6937-F4A7-406E-B6D7-F3AB26E9CB76}" showPageBreaks="1" showGridLines="0" fitToPage="1" printArea="1" topLeftCell="A6">
      <selection activeCell="S16" sqref="S16"/>
      <pageMargins left="0.5" right="0.25" top="0" bottom="0" header="0.36" footer="0.5"/>
      <printOptions horizontalCentered="1"/>
      <pageSetup paperSize="9" orientation="landscape" r:id="rId1"/>
      <headerFooter alignWithMargins="0"/>
    </customSheetView>
    <customSheetView guid="{6FD7F56A-E857-4CED-A5A1-7DEC8753A8FB}" showGridLines="0" fitToPage="1" topLeftCell="A6">
      <selection activeCell="S16" sqref="S16"/>
      <pageMargins left="0.5" right="0.25" top="0" bottom="0" header="0.36" footer="0.5"/>
      <printOptions horizontalCentered="1"/>
      <pageSetup paperSize="9" orientation="landscape" r:id="rId2"/>
      <headerFooter alignWithMargins="0"/>
    </customSheetView>
    <customSheetView guid="{91D31259-BF8C-4449-A829-EAD5467CE226}" showGridLines="0" fitToPage="1" topLeftCell="A6">
      <selection activeCell="S16" sqref="S16"/>
      <pageMargins left="0.5" right="0.25" top="0" bottom="0" header="0.36" footer="0.5"/>
      <printOptions horizontalCentered="1"/>
      <pageSetup paperSize="9" orientation="landscape" r:id="rId3"/>
      <headerFooter alignWithMargins="0"/>
    </customSheetView>
  </customSheetViews>
  <mergeCells count="3">
    <mergeCell ref="A3:R3"/>
    <mergeCell ref="A4:R4"/>
    <mergeCell ref="A5:R5"/>
  </mergeCells>
  <dataValidations count="1">
    <dataValidation type="decimal" allowBlank="1" showInputMessage="1" showErrorMessage="1" errorTitle="Invalid Data" error="the data must be a whole number" sqref="L32 D32 F32 H32 J32 N14:R30 C14:M16 C18:M18 C20:M20 C22:M22 C24:M24 C26:M26 C28:M28 C30:M30" xr:uid="{00000000-0002-0000-0B00-000000000000}">
      <formula1>0</formula1>
      <formula2>9.99999999999999E+22</formula2>
    </dataValidation>
  </dataValidations>
  <printOptions horizontalCentered="1" gridLinesSet="0"/>
  <pageMargins left="0.5" right="0.25" top="0" bottom="0" header="0.36" footer="0.5"/>
  <pageSetup paperSize="9" orientation="landscape" r:id="rId4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>
    <pageSetUpPr fitToPage="1"/>
  </sheetPr>
  <dimension ref="A2:AF72"/>
  <sheetViews>
    <sheetView showGridLines="0" zoomScaleNormal="100" workbookViewId="0">
      <selection activeCell="I46" sqref="I46"/>
    </sheetView>
  </sheetViews>
  <sheetFormatPr defaultColWidth="8.85546875" defaultRowHeight="12.75"/>
  <cols>
    <col min="1" max="1" width="2" style="43" customWidth="1"/>
    <col min="2" max="2" width="16.85546875" style="43" customWidth="1"/>
    <col min="3" max="3" width="5.85546875" style="43" customWidth="1"/>
    <col min="4" max="4" width="1.85546875" style="43" customWidth="1"/>
    <col min="5" max="5" width="9.85546875" style="43" customWidth="1"/>
    <col min="6" max="6" width="1.85546875" style="43" customWidth="1"/>
    <col min="7" max="7" width="5.85546875" style="43" customWidth="1"/>
    <col min="8" max="8" width="1.85546875" style="43" customWidth="1"/>
    <col min="9" max="9" width="9.85546875" style="43" customWidth="1"/>
    <col min="10" max="10" width="1.85546875" style="43" customWidth="1"/>
    <col min="11" max="11" width="5.85546875" style="43" customWidth="1"/>
    <col min="12" max="12" width="1.85546875" style="43" customWidth="1"/>
    <col min="13" max="13" width="9.85546875" style="43" customWidth="1"/>
    <col min="14" max="14" width="1.85546875" style="43" customWidth="1"/>
    <col min="15" max="15" width="5.85546875" style="43" customWidth="1"/>
    <col min="16" max="16" width="1.85546875" style="43" customWidth="1"/>
    <col min="17" max="17" width="10.85546875" style="43" customWidth="1"/>
    <col min="18" max="18" width="1.85546875" style="43" customWidth="1"/>
    <col min="19" max="19" width="5.85546875" style="43" customWidth="1"/>
    <col min="20" max="20" width="1.85546875" style="43" customWidth="1"/>
    <col min="21" max="21" width="9.85546875" style="43" customWidth="1"/>
    <col min="22" max="22" width="1.85546875" style="43" customWidth="1"/>
    <col min="23" max="23" width="5.85546875" style="43" customWidth="1"/>
    <col min="24" max="24" width="1.85546875" style="43" customWidth="1"/>
    <col min="25" max="25" width="14.85546875" style="43" customWidth="1"/>
    <col min="26" max="16384" width="8.85546875" style="43"/>
  </cols>
  <sheetData>
    <row r="2" spans="1:25">
      <c r="A2" s="46"/>
      <c r="B2" s="47"/>
      <c r="C2" s="47"/>
      <c r="D2" s="47"/>
      <c r="E2" s="47"/>
      <c r="F2" s="47"/>
      <c r="G2" s="47"/>
      <c r="H2" s="47"/>
      <c r="I2" s="48"/>
      <c r="J2" s="48"/>
      <c r="K2" s="47"/>
      <c r="L2" s="47"/>
      <c r="M2" s="47"/>
      <c r="N2" s="47"/>
      <c r="O2" s="47"/>
      <c r="P2" s="47"/>
      <c r="Q2" s="46"/>
      <c r="R2" s="48"/>
      <c r="S2" s="47"/>
      <c r="T2" s="47"/>
      <c r="U2" s="47"/>
      <c r="V2" s="47"/>
      <c r="W2" s="47"/>
      <c r="X2" s="47"/>
      <c r="Y2" s="46" t="s">
        <v>189</v>
      </c>
    </row>
    <row r="3" spans="1:25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25" ht="15.75">
      <c r="A4" s="87" t="s">
        <v>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47"/>
      <c r="Y4" s="47"/>
    </row>
    <row r="5" spans="1:25" ht="15.75">
      <c r="A5" s="88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47"/>
      <c r="Y5" s="47"/>
    </row>
    <row r="6" spans="1:25" ht="15.75">
      <c r="A6" s="87" t="s">
        <v>148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47"/>
      <c r="Y6" s="47"/>
    </row>
    <row r="7" spans="1:25" ht="15.75">
      <c r="A7" s="88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47"/>
      <c r="Y7" s="47"/>
    </row>
    <row r="8" spans="1:25" ht="15.75">
      <c r="A8" s="87" t="s">
        <v>149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47"/>
      <c r="Y8" s="47"/>
    </row>
    <row r="9" spans="1:25" ht="15.75">
      <c r="A9" s="89"/>
    </row>
    <row r="11" spans="1:25">
      <c r="B11" s="50"/>
      <c r="C11" s="51"/>
    </row>
    <row r="12" spans="1:25">
      <c r="A12" s="95"/>
      <c r="B12" s="95"/>
      <c r="C12" s="96" t="s">
        <v>98</v>
      </c>
      <c r="D12" s="96"/>
      <c r="E12" s="97"/>
      <c r="F12" s="97"/>
      <c r="G12" s="96" t="s">
        <v>65</v>
      </c>
      <c r="H12" s="96"/>
      <c r="I12" s="97"/>
      <c r="J12" s="47"/>
      <c r="K12" s="96" t="s">
        <v>97</v>
      </c>
      <c r="L12" s="96"/>
      <c r="M12" s="97"/>
      <c r="N12" s="97"/>
      <c r="O12" s="96" t="s">
        <v>65</v>
      </c>
      <c r="P12" s="96"/>
      <c r="Q12" s="97"/>
      <c r="R12" s="47"/>
      <c r="S12" s="96" t="s">
        <v>90</v>
      </c>
      <c r="T12" s="96"/>
      <c r="U12" s="97"/>
      <c r="V12" s="97"/>
      <c r="W12" s="96" t="s">
        <v>65</v>
      </c>
      <c r="X12" s="96"/>
      <c r="Y12" s="97"/>
    </row>
    <row r="13" spans="1:25">
      <c r="A13" s="98" t="s">
        <v>4</v>
      </c>
      <c r="B13" s="98" t="s">
        <v>59</v>
      </c>
      <c r="C13" s="96" t="s">
        <v>7</v>
      </c>
      <c r="D13" s="97"/>
      <c r="E13" s="97"/>
      <c r="F13" s="96"/>
      <c r="G13" s="96" t="s">
        <v>64</v>
      </c>
      <c r="H13" s="96"/>
      <c r="I13" s="97"/>
      <c r="J13" s="47"/>
      <c r="K13" s="96" t="s">
        <v>7</v>
      </c>
      <c r="L13" s="96"/>
      <c r="M13" s="97"/>
      <c r="N13" s="97"/>
      <c r="O13" s="96" t="s">
        <v>64</v>
      </c>
      <c r="P13" s="96"/>
      <c r="Q13" s="97"/>
      <c r="R13" s="47"/>
      <c r="S13" s="96" t="s">
        <v>8</v>
      </c>
      <c r="T13" s="96"/>
      <c r="U13" s="97"/>
      <c r="V13" s="97"/>
      <c r="W13" s="96" t="s">
        <v>64</v>
      </c>
      <c r="X13" s="96"/>
      <c r="Y13" s="97"/>
    </row>
    <row r="14" spans="1:25">
      <c r="A14" s="95"/>
      <c r="B14" s="95"/>
      <c r="C14" s="99" t="s">
        <v>10</v>
      </c>
      <c r="D14" s="99"/>
      <c r="E14" s="100"/>
      <c r="F14" s="100"/>
      <c r="G14" s="99" t="s">
        <v>66</v>
      </c>
      <c r="H14" s="99"/>
      <c r="I14" s="100"/>
      <c r="J14" s="47"/>
      <c r="K14" s="99" t="s">
        <v>63</v>
      </c>
      <c r="L14" s="99"/>
      <c r="M14" s="100"/>
      <c r="N14" s="100"/>
      <c r="O14" s="99" t="s">
        <v>66</v>
      </c>
      <c r="P14" s="99"/>
      <c r="Q14" s="100"/>
      <c r="R14" s="47"/>
      <c r="S14" s="99" t="s">
        <v>11</v>
      </c>
      <c r="T14" s="99"/>
      <c r="U14" s="100"/>
      <c r="V14" s="100"/>
      <c r="W14" s="99" t="s">
        <v>66</v>
      </c>
      <c r="X14" s="99"/>
      <c r="Y14" s="100"/>
    </row>
    <row r="16" spans="1:25">
      <c r="C16" s="48" t="s">
        <v>28</v>
      </c>
      <c r="D16" s="48"/>
      <c r="E16" s="44" t="s">
        <v>27</v>
      </c>
      <c r="F16" s="48"/>
      <c r="G16" s="48" t="s">
        <v>28</v>
      </c>
      <c r="H16" s="48"/>
      <c r="I16" s="44" t="s">
        <v>27</v>
      </c>
      <c r="J16" s="48"/>
      <c r="K16" s="48" t="s">
        <v>28</v>
      </c>
      <c r="L16" s="48"/>
      <c r="M16" s="44" t="s">
        <v>27</v>
      </c>
      <c r="N16" s="48"/>
      <c r="O16" s="48" t="s">
        <v>28</v>
      </c>
      <c r="P16" s="48"/>
      <c r="Q16" s="44" t="s">
        <v>27</v>
      </c>
      <c r="R16" s="48"/>
      <c r="S16" s="48" t="s">
        <v>28</v>
      </c>
      <c r="T16" s="48"/>
      <c r="U16" s="44" t="s">
        <v>27</v>
      </c>
      <c r="V16" s="48"/>
      <c r="W16" s="48" t="s">
        <v>28</v>
      </c>
      <c r="X16" s="48"/>
      <c r="Y16" s="44" t="s">
        <v>27</v>
      </c>
    </row>
    <row r="17" spans="1:32">
      <c r="C17" s="48"/>
      <c r="D17" s="48"/>
      <c r="E17" s="54"/>
      <c r="F17" s="55"/>
      <c r="G17" s="48"/>
      <c r="H17" s="48"/>
      <c r="I17" s="54"/>
      <c r="J17" s="55"/>
      <c r="K17" s="48"/>
      <c r="L17" s="48"/>
      <c r="M17" s="54"/>
      <c r="N17" s="55"/>
      <c r="O17" s="48"/>
      <c r="P17" s="48"/>
      <c r="Q17" s="54"/>
      <c r="R17" s="55"/>
      <c r="S17" s="48"/>
      <c r="T17" s="48"/>
      <c r="U17" s="54"/>
      <c r="V17" s="55"/>
      <c r="W17" s="48"/>
      <c r="X17" s="48"/>
      <c r="Y17" s="54"/>
    </row>
    <row r="18" spans="1:32"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32">
      <c r="A19" s="43" t="s">
        <v>15</v>
      </c>
      <c r="B19" s="57" t="s">
        <v>16</v>
      </c>
      <c r="C19" s="68"/>
      <c r="D19" s="79"/>
      <c r="E19" s="68"/>
      <c r="F19" s="81"/>
      <c r="G19" s="124"/>
      <c r="H19" s="79"/>
      <c r="I19" s="124"/>
      <c r="J19" s="81"/>
      <c r="K19" s="124"/>
      <c r="L19" s="79"/>
      <c r="M19" s="124"/>
      <c r="N19" s="76"/>
      <c r="O19" s="124"/>
      <c r="P19" s="79"/>
      <c r="Q19" s="124"/>
      <c r="R19" s="81"/>
      <c r="S19" s="124"/>
      <c r="T19" s="79"/>
      <c r="U19" s="124"/>
      <c r="V19" s="76"/>
      <c r="W19" s="124"/>
      <c r="X19" s="79"/>
      <c r="Y19" s="124"/>
    </row>
    <row r="20" spans="1:32"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78"/>
      <c r="X20" s="78"/>
      <c r="Y20" s="80"/>
    </row>
    <row r="21" spans="1:32">
      <c r="A21" s="43" t="s">
        <v>17</v>
      </c>
      <c r="B21" s="57" t="s">
        <v>18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78"/>
      <c r="X21" s="78"/>
      <c r="Y21" s="80"/>
    </row>
    <row r="22" spans="1:32">
      <c r="B22" s="57" t="s">
        <v>112</v>
      </c>
      <c r="C22" s="124"/>
      <c r="D22" s="79"/>
      <c r="E22" s="124"/>
      <c r="F22" s="81"/>
      <c r="G22" s="124"/>
      <c r="H22" s="79"/>
      <c r="I22" s="124"/>
      <c r="J22" s="81"/>
      <c r="K22" s="124"/>
      <c r="L22" s="79"/>
      <c r="M22" s="124"/>
      <c r="N22" s="76"/>
      <c r="O22" s="124"/>
      <c r="P22" s="79"/>
      <c r="Q22" s="124"/>
      <c r="R22" s="81"/>
      <c r="S22" s="124"/>
      <c r="T22" s="79"/>
      <c r="U22" s="124"/>
      <c r="V22" s="76"/>
      <c r="W22" s="124"/>
      <c r="X22" s="79"/>
      <c r="Y22" s="124"/>
    </row>
    <row r="23" spans="1:32"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8"/>
      <c r="X23" s="78"/>
      <c r="Y23" s="78"/>
    </row>
    <row r="24" spans="1:32">
      <c r="A24" s="43" t="s">
        <v>19</v>
      </c>
      <c r="B24" s="57" t="s">
        <v>20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8"/>
      <c r="X24" s="78"/>
      <c r="Y24" s="78"/>
    </row>
    <row r="25" spans="1:32">
      <c r="B25" s="57" t="s">
        <v>113</v>
      </c>
      <c r="C25" s="124"/>
      <c r="D25" s="79"/>
      <c r="E25" s="124"/>
      <c r="F25" s="81"/>
      <c r="G25" s="124"/>
      <c r="H25" s="79"/>
      <c r="I25" s="124"/>
      <c r="J25" s="81"/>
      <c r="K25" s="124"/>
      <c r="L25" s="79"/>
      <c r="M25" s="124"/>
      <c r="N25" s="76"/>
      <c r="O25" s="124"/>
      <c r="P25" s="79"/>
      <c r="Q25" s="124"/>
      <c r="R25" s="81"/>
      <c r="S25" s="124"/>
      <c r="T25" s="79"/>
      <c r="U25" s="124"/>
      <c r="V25" s="76"/>
      <c r="W25" s="124"/>
      <c r="X25" s="79"/>
      <c r="Y25" s="124"/>
    </row>
    <row r="26" spans="1:32"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78"/>
      <c r="X26" s="78"/>
      <c r="Y26" s="78"/>
    </row>
    <row r="27" spans="1:32">
      <c r="A27" s="43" t="s">
        <v>21</v>
      </c>
      <c r="B27" s="57" t="s">
        <v>22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78"/>
      <c r="X27" s="78"/>
      <c r="Y27" s="78"/>
    </row>
    <row r="28" spans="1:32">
      <c r="B28" s="57" t="s">
        <v>113</v>
      </c>
      <c r="C28" s="124"/>
      <c r="D28" s="79"/>
      <c r="E28" s="124"/>
      <c r="F28" s="81"/>
      <c r="G28" s="124"/>
      <c r="H28" s="79"/>
      <c r="I28" s="124"/>
      <c r="J28" s="81"/>
      <c r="K28" s="124"/>
      <c r="L28" s="79"/>
      <c r="M28" s="124"/>
      <c r="N28" s="76"/>
      <c r="O28" s="124"/>
      <c r="P28" s="79"/>
      <c r="Q28" s="124"/>
      <c r="R28" s="81"/>
      <c r="S28" s="124"/>
      <c r="T28" s="79"/>
      <c r="U28" s="124"/>
      <c r="V28" s="76"/>
      <c r="W28" s="124"/>
      <c r="X28" s="79"/>
      <c r="Y28" s="124"/>
    </row>
    <row r="29" spans="1:32"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8"/>
      <c r="X29" s="78"/>
      <c r="Y29" s="78"/>
    </row>
    <row r="30" spans="1:32">
      <c r="A30" s="43" t="s">
        <v>23</v>
      </c>
      <c r="B30" s="57" t="s">
        <v>24</v>
      </c>
      <c r="C30" s="124"/>
      <c r="D30" s="79"/>
      <c r="E30" s="124"/>
      <c r="F30" s="81"/>
      <c r="G30" s="124"/>
      <c r="H30" s="79"/>
      <c r="I30" s="124"/>
      <c r="J30" s="81"/>
      <c r="K30" s="124"/>
      <c r="L30" s="79"/>
      <c r="M30" s="124"/>
      <c r="N30" s="76"/>
      <c r="O30" s="124"/>
      <c r="P30" s="79"/>
      <c r="Q30" s="124"/>
      <c r="R30" s="81"/>
      <c r="S30" s="124"/>
      <c r="T30" s="79"/>
      <c r="U30" s="124"/>
      <c r="V30" s="76"/>
      <c r="W30" s="124"/>
      <c r="X30" s="79"/>
      <c r="Y30" s="124"/>
    </row>
    <row r="32" spans="1:32">
      <c r="AC32" s="43" t="s">
        <v>25</v>
      </c>
      <c r="AD32" s="43" t="s">
        <v>25</v>
      </c>
      <c r="AE32" s="43" t="s">
        <v>25</v>
      </c>
      <c r="AF32" s="43" t="s">
        <v>25</v>
      </c>
    </row>
    <row r="33" spans="1:32">
      <c r="A33" s="95"/>
      <c r="B33" s="95"/>
      <c r="C33" s="96" t="s">
        <v>98</v>
      </c>
      <c r="D33" s="96"/>
      <c r="E33" s="97"/>
      <c r="F33" s="97"/>
      <c r="G33" s="96" t="s">
        <v>65</v>
      </c>
      <c r="H33" s="96"/>
      <c r="I33" s="97"/>
      <c r="J33" s="47"/>
      <c r="K33" s="96" t="s">
        <v>97</v>
      </c>
      <c r="L33" s="96"/>
      <c r="M33" s="97"/>
      <c r="N33" s="97"/>
      <c r="O33" s="96" t="s">
        <v>65</v>
      </c>
      <c r="P33" s="96"/>
      <c r="Q33" s="97"/>
      <c r="R33" s="47"/>
      <c r="S33" s="96" t="s">
        <v>90</v>
      </c>
      <c r="T33" s="96"/>
      <c r="U33" s="97"/>
      <c r="V33" s="97"/>
      <c r="W33" s="96" t="s">
        <v>65</v>
      </c>
      <c r="X33" s="96"/>
      <c r="Y33" s="97"/>
      <c r="AC33" s="43" t="s">
        <v>25</v>
      </c>
      <c r="AD33" s="43" t="s">
        <v>25</v>
      </c>
      <c r="AE33" s="43" t="s">
        <v>25</v>
      </c>
      <c r="AF33" s="43" t="s">
        <v>25</v>
      </c>
    </row>
    <row r="34" spans="1:32">
      <c r="A34" s="98" t="s">
        <v>43</v>
      </c>
      <c r="B34" s="98" t="s">
        <v>197</v>
      </c>
      <c r="C34" s="96" t="s">
        <v>7</v>
      </c>
      <c r="D34" s="97"/>
      <c r="E34" s="97"/>
      <c r="F34" s="96"/>
      <c r="G34" s="96" t="s">
        <v>64</v>
      </c>
      <c r="H34" s="96"/>
      <c r="I34" s="97"/>
      <c r="J34" s="47"/>
      <c r="K34" s="96" t="s">
        <v>7</v>
      </c>
      <c r="L34" s="96"/>
      <c r="M34" s="97"/>
      <c r="N34" s="97"/>
      <c r="O34" s="96" t="s">
        <v>64</v>
      </c>
      <c r="P34" s="96"/>
      <c r="Q34" s="97"/>
      <c r="R34" s="47"/>
      <c r="S34" s="96" t="s">
        <v>8</v>
      </c>
      <c r="T34" s="96"/>
      <c r="U34" s="97"/>
      <c r="V34" s="97"/>
      <c r="W34" s="96" t="s">
        <v>64</v>
      </c>
      <c r="X34" s="96"/>
      <c r="Y34" s="97"/>
    </row>
    <row r="35" spans="1:32">
      <c r="A35" s="95"/>
      <c r="B35" s="95"/>
      <c r="C35" s="99" t="s">
        <v>10</v>
      </c>
      <c r="D35" s="99"/>
      <c r="E35" s="100"/>
      <c r="F35" s="100"/>
      <c r="G35" s="99" t="s">
        <v>66</v>
      </c>
      <c r="H35" s="99"/>
      <c r="I35" s="100"/>
      <c r="J35" s="47"/>
      <c r="K35" s="99" t="s">
        <v>63</v>
      </c>
      <c r="L35" s="99"/>
      <c r="M35" s="100"/>
      <c r="N35" s="100"/>
      <c r="O35" s="99" t="s">
        <v>66</v>
      </c>
      <c r="P35" s="99"/>
      <c r="Q35" s="100"/>
      <c r="R35" s="47"/>
      <c r="S35" s="99" t="s">
        <v>11</v>
      </c>
      <c r="T35" s="99"/>
      <c r="U35" s="100"/>
      <c r="V35" s="100"/>
      <c r="W35" s="99" t="s">
        <v>66</v>
      </c>
      <c r="X35" s="99"/>
      <c r="Y35" s="100"/>
    </row>
    <row r="37" spans="1:32">
      <c r="C37" s="48" t="s">
        <v>28</v>
      </c>
      <c r="D37" s="48"/>
      <c r="E37" s="44" t="s">
        <v>27</v>
      </c>
      <c r="F37" s="48"/>
      <c r="G37" s="48" t="s">
        <v>28</v>
      </c>
      <c r="H37" s="48"/>
      <c r="I37" s="44" t="s">
        <v>27</v>
      </c>
      <c r="J37" s="48"/>
      <c r="K37" s="48" t="s">
        <v>28</v>
      </c>
      <c r="L37" s="48"/>
      <c r="M37" s="44" t="s">
        <v>27</v>
      </c>
      <c r="N37" s="48"/>
      <c r="O37" s="48" t="s">
        <v>28</v>
      </c>
      <c r="P37" s="48"/>
      <c r="Q37" s="44" t="s">
        <v>27</v>
      </c>
      <c r="R37" s="48"/>
      <c r="S37" s="48" t="s">
        <v>28</v>
      </c>
      <c r="T37" s="48"/>
      <c r="U37" s="44" t="s">
        <v>27</v>
      </c>
      <c r="V37" s="48"/>
      <c r="W37" s="48" t="s">
        <v>28</v>
      </c>
      <c r="X37" s="48"/>
      <c r="Y37" s="44" t="s">
        <v>27</v>
      </c>
    </row>
    <row r="38" spans="1:32">
      <c r="C38" s="48"/>
      <c r="D38" s="48"/>
      <c r="E38" s="54"/>
      <c r="F38" s="55"/>
      <c r="G38" s="48"/>
      <c r="H38" s="48"/>
      <c r="I38" s="54"/>
      <c r="J38" s="55"/>
      <c r="K38" s="48"/>
      <c r="L38" s="48"/>
      <c r="M38" s="54"/>
      <c r="N38" s="55"/>
      <c r="O38" s="48"/>
      <c r="P38" s="48"/>
      <c r="Q38" s="54"/>
      <c r="R38" s="55"/>
      <c r="S38" s="48"/>
      <c r="T38" s="48"/>
      <c r="U38" s="54"/>
      <c r="V38" s="55"/>
      <c r="W38" s="48"/>
      <c r="X38" s="48"/>
      <c r="Y38" s="54"/>
    </row>
    <row r="39" spans="1:32"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</row>
    <row r="40" spans="1:32">
      <c r="B40" s="57" t="s">
        <v>16</v>
      </c>
      <c r="C40" s="124"/>
      <c r="D40" s="79"/>
      <c r="E40" s="124"/>
      <c r="F40" s="81"/>
      <c r="G40" s="124"/>
      <c r="H40" s="79"/>
      <c r="I40" s="124"/>
      <c r="J40" s="81"/>
      <c r="K40" s="124"/>
      <c r="L40" s="79"/>
      <c r="M40" s="124"/>
      <c r="N40" s="76"/>
      <c r="O40" s="124"/>
      <c r="P40" s="79"/>
      <c r="Q40" s="124"/>
      <c r="R40" s="81"/>
      <c r="S40" s="124"/>
      <c r="T40" s="79"/>
      <c r="U40" s="124"/>
      <c r="V40" s="76"/>
      <c r="W40" s="124"/>
      <c r="X40" s="79"/>
      <c r="Y40" s="124"/>
    </row>
    <row r="41" spans="1:32"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</row>
    <row r="42" spans="1:32">
      <c r="B42" s="57" t="s">
        <v>18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</row>
    <row r="43" spans="1:32">
      <c r="B43" s="57" t="s">
        <v>112</v>
      </c>
      <c r="C43" s="124"/>
      <c r="D43" s="79"/>
      <c r="E43" s="124"/>
      <c r="F43" s="81"/>
      <c r="G43" s="124"/>
      <c r="H43" s="79"/>
      <c r="I43" s="124"/>
      <c r="J43" s="81"/>
      <c r="K43" s="124"/>
      <c r="L43" s="79"/>
      <c r="M43" s="124"/>
      <c r="N43" s="76"/>
      <c r="O43" s="124"/>
      <c r="P43" s="79"/>
      <c r="Q43" s="124"/>
      <c r="R43" s="81"/>
      <c r="S43" s="124"/>
      <c r="T43" s="79"/>
      <c r="U43" s="124"/>
      <c r="V43" s="76"/>
      <c r="W43" s="124"/>
      <c r="X43" s="79"/>
      <c r="Y43" s="124"/>
    </row>
    <row r="44" spans="1:32"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</row>
    <row r="45" spans="1:32">
      <c r="B45" s="57" t="s">
        <v>20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</row>
    <row r="46" spans="1:32">
      <c r="B46" s="57" t="s">
        <v>113</v>
      </c>
      <c r="C46" s="124"/>
      <c r="D46" s="79"/>
      <c r="E46" s="124"/>
      <c r="F46" s="81"/>
      <c r="G46" s="124"/>
      <c r="H46" s="79"/>
      <c r="I46" s="124"/>
      <c r="J46" s="81"/>
      <c r="K46" s="124"/>
      <c r="L46" s="79"/>
      <c r="M46" s="124"/>
      <c r="N46" s="76"/>
      <c r="O46" s="124"/>
      <c r="P46" s="79"/>
      <c r="Q46" s="124"/>
      <c r="R46" s="81"/>
      <c r="S46" s="124"/>
      <c r="T46" s="79"/>
      <c r="U46" s="124"/>
      <c r="V46" s="76"/>
      <c r="W46" s="124"/>
      <c r="X46" s="79"/>
      <c r="Y46" s="124"/>
    </row>
    <row r="47" spans="1:32"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0"/>
      <c r="X47" s="80"/>
      <c r="Y47" s="80"/>
    </row>
    <row r="48" spans="1:32">
      <c r="B48" s="57" t="s">
        <v>22</v>
      </c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0"/>
      <c r="X48" s="80"/>
      <c r="Y48" s="80"/>
    </row>
    <row r="49" spans="1:25">
      <c r="B49" s="57" t="s">
        <v>113</v>
      </c>
      <c r="C49" s="124"/>
      <c r="D49" s="79"/>
      <c r="E49" s="124"/>
      <c r="F49" s="81"/>
      <c r="G49" s="124"/>
      <c r="H49" s="79"/>
      <c r="I49" s="124"/>
      <c r="J49" s="81"/>
      <c r="K49" s="124"/>
      <c r="L49" s="79"/>
      <c r="M49" s="124"/>
      <c r="N49" s="76"/>
      <c r="O49" s="124"/>
      <c r="P49" s="79"/>
      <c r="Q49" s="124"/>
      <c r="R49" s="81"/>
      <c r="S49" s="124"/>
      <c r="T49" s="79"/>
      <c r="U49" s="124"/>
      <c r="V49" s="76"/>
      <c r="W49" s="124"/>
      <c r="X49" s="79"/>
      <c r="Y49" s="124"/>
    </row>
    <row r="50" spans="1:25"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80"/>
      <c r="X50" s="80"/>
      <c r="Y50" s="80"/>
    </row>
    <row r="51" spans="1:25">
      <c r="B51" s="57" t="s">
        <v>24</v>
      </c>
      <c r="C51" s="124"/>
      <c r="D51" s="79"/>
      <c r="E51" s="124"/>
      <c r="F51" s="81"/>
      <c r="G51" s="124"/>
      <c r="H51" s="79"/>
      <c r="I51" s="124"/>
      <c r="J51" s="81"/>
      <c r="K51" s="124"/>
      <c r="L51" s="79"/>
      <c r="M51" s="124"/>
      <c r="N51" s="76"/>
      <c r="O51" s="124"/>
      <c r="P51" s="79"/>
      <c r="Q51" s="124"/>
      <c r="R51" s="81"/>
      <c r="S51" s="124"/>
      <c r="T51" s="79"/>
      <c r="U51" s="124"/>
      <c r="V51" s="76"/>
      <c r="W51" s="124"/>
      <c r="X51" s="79"/>
      <c r="Y51" s="124"/>
    </row>
    <row r="54" spans="1:25">
      <c r="A54" s="95"/>
      <c r="B54" s="95"/>
      <c r="C54" s="96" t="s">
        <v>98</v>
      </c>
      <c r="D54" s="96"/>
      <c r="E54" s="97"/>
      <c r="F54" s="97"/>
      <c r="G54" s="96" t="s">
        <v>65</v>
      </c>
      <c r="H54" s="96"/>
      <c r="I54" s="97"/>
      <c r="J54" s="47"/>
      <c r="K54" s="96" t="s">
        <v>97</v>
      </c>
      <c r="L54" s="96"/>
      <c r="M54" s="97"/>
      <c r="N54" s="97"/>
      <c r="O54" s="96" t="s">
        <v>65</v>
      </c>
      <c r="P54" s="96"/>
      <c r="Q54" s="97"/>
      <c r="R54" s="47"/>
      <c r="S54" s="96" t="s">
        <v>90</v>
      </c>
      <c r="T54" s="96"/>
      <c r="U54" s="97"/>
      <c r="V54" s="97"/>
      <c r="W54" s="96" t="s">
        <v>65</v>
      </c>
      <c r="X54" s="96"/>
      <c r="Y54" s="97"/>
    </row>
    <row r="55" spans="1:25">
      <c r="A55" s="98" t="s">
        <v>4</v>
      </c>
      <c r="B55" s="98" t="s">
        <v>61</v>
      </c>
      <c r="C55" s="96" t="s">
        <v>7</v>
      </c>
      <c r="D55" s="97"/>
      <c r="E55" s="97"/>
      <c r="F55" s="96"/>
      <c r="G55" s="96" t="s">
        <v>64</v>
      </c>
      <c r="H55" s="96"/>
      <c r="I55" s="97"/>
      <c r="J55" s="47"/>
      <c r="K55" s="96" t="s">
        <v>7</v>
      </c>
      <c r="L55" s="96"/>
      <c r="M55" s="97"/>
      <c r="N55" s="97"/>
      <c r="O55" s="96" t="s">
        <v>64</v>
      </c>
      <c r="P55" s="96"/>
      <c r="Q55" s="97"/>
      <c r="R55" s="47"/>
      <c r="S55" s="96" t="s">
        <v>8</v>
      </c>
      <c r="T55" s="96"/>
      <c r="U55" s="97"/>
      <c r="V55" s="97"/>
      <c r="W55" s="96" t="s">
        <v>64</v>
      </c>
      <c r="X55" s="96"/>
      <c r="Y55" s="97"/>
    </row>
    <row r="56" spans="1:25">
      <c r="A56" s="95"/>
      <c r="B56" s="95"/>
      <c r="C56" s="99" t="s">
        <v>10</v>
      </c>
      <c r="D56" s="99"/>
      <c r="E56" s="100"/>
      <c r="F56" s="100"/>
      <c r="G56" s="99" t="s">
        <v>66</v>
      </c>
      <c r="H56" s="99"/>
      <c r="I56" s="100"/>
      <c r="J56" s="47"/>
      <c r="K56" s="99" t="s">
        <v>63</v>
      </c>
      <c r="L56" s="99"/>
      <c r="M56" s="100"/>
      <c r="N56" s="100"/>
      <c r="O56" s="99" t="s">
        <v>66</v>
      </c>
      <c r="P56" s="99"/>
      <c r="Q56" s="100"/>
      <c r="R56" s="47"/>
      <c r="S56" s="99" t="s">
        <v>11</v>
      </c>
      <c r="T56" s="99"/>
      <c r="U56" s="100"/>
      <c r="V56" s="100"/>
      <c r="W56" s="99" t="s">
        <v>66</v>
      </c>
      <c r="X56" s="99"/>
      <c r="Y56" s="100"/>
    </row>
    <row r="58" spans="1:25">
      <c r="C58" s="48" t="s">
        <v>28</v>
      </c>
      <c r="D58" s="48"/>
      <c r="E58" s="44" t="s">
        <v>27</v>
      </c>
      <c r="F58" s="48"/>
      <c r="G58" s="48" t="s">
        <v>28</v>
      </c>
      <c r="H58" s="48"/>
      <c r="I58" s="44" t="s">
        <v>27</v>
      </c>
      <c r="J58" s="48"/>
      <c r="K58" s="48" t="s">
        <v>28</v>
      </c>
      <c r="L58" s="48"/>
      <c r="M58" s="44" t="s">
        <v>27</v>
      </c>
      <c r="N58" s="48"/>
      <c r="O58" s="48" t="s">
        <v>28</v>
      </c>
      <c r="P58" s="48"/>
      <c r="Q58" s="44" t="s">
        <v>27</v>
      </c>
      <c r="R58" s="48"/>
      <c r="S58" s="48" t="s">
        <v>28</v>
      </c>
      <c r="T58" s="48"/>
      <c r="U58" s="44" t="s">
        <v>27</v>
      </c>
      <c r="V58" s="48"/>
      <c r="W58" s="48" t="s">
        <v>28</v>
      </c>
      <c r="X58" s="48"/>
      <c r="Y58" s="44" t="s">
        <v>27</v>
      </c>
    </row>
    <row r="59" spans="1:25">
      <c r="C59" s="48"/>
      <c r="D59" s="48"/>
      <c r="E59" s="54"/>
      <c r="F59" s="55"/>
      <c r="G59" s="48"/>
      <c r="H59" s="48"/>
      <c r="I59" s="54"/>
      <c r="J59" s="55"/>
      <c r="K59" s="48"/>
      <c r="L59" s="48"/>
      <c r="M59" s="54"/>
      <c r="N59" s="55"/>
      <c r="O59" s="48"/>
      <c r="P59" s="48"/>
      <c r="Q59" s="54"/>
      <c r="R59" s="55"/>
      <c r="S59" s="48"/>
      <c r="T59" s="48"/>
      <c r="U59" s="54"/>
      <c r="V59" s="55"/>
      <c r="W59" s="48"/>
      <c r="X59" s="48"/>
      <c r="Y59" s="54"/>
    </row>
    <row r="60" spans="1:25"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</row>
    <row r="61" spans="1:25">
      <c r="B61" s="57" t="s">
        <v>16</v>
      </c>
      <c r="C61" s="124"/>
      <c r="D61" s="79"/>
      <c r="E61" s="124"/>
      <c r="F61" s="81"/>
      <c r="G61" s="124"/>
      <c r="H61" s="79"/>
      <c r="I61" s="124"/>
      <c r="J61" s="81"/>
      <c r="K61" s="124"/>
      <c r="L61" s="79"/>
      <c r="M61" s="124"/>
      <c r="N61" s="76"/>
      <c r="O61" s="124"/>
      <c r="P61" s="79"/>
      <c r="Q61" s="124"/>
      <c r="R61" s="81"/>
      <c r="S61" s="124"/>
      <c r="T61" s="79"/>
      <c r="U61" s="124"/>
      <c r="V61" s="76"/>
      <c r="W61" s="124"/>
      <c r="X61" s="79"/>
      <c r="Y61" s="124"/>
    </row>
    <row r="62" spans="1:25"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</row>
    <row r="63" spans="1:25">
      <c r="B63" s="57" t="s">
        <v>18</v>
      </c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</row>
    <row r="64" spans="1:25">
      <c r="B64" s="57" t="s">
        <v>112</v>
      </c>
      <c r="C64" s="124"/>
      <c r="D64" s="79"/>
      <c r="E64" s="124"/>
      <c r="F64" s="81"/>
      <c r="G64" s="124"/>
      <c r="H64" s="79"/>
      <c r="I64" s="124"/>
      <c r="J64" s="81"/>
      <c r="K64" s="124"/>
      <c r="L64" s="79"/>
      <c r="M64" s="124"/>
      <c r="N64" s="76"/>
      <c r="O64" s="124"/>
      <c r="P64" s="79"/>
      <c r="Q64" s="124"/>
      <c r="R64" s="81"/>
      <c r="S64" s="124"/>
      <c r="T64" s="79"/>
      <c r="U64" s="124"/>
      <c r="V64" s="76"/>
      <c r="W64" s="124"/>
      <c r="X64" s="79"/>
      <c r="Y64" s="124"/>
    </row>
    <row r="65" spans="2:25"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</row>
    <row r="66" spans="2:25">
      <c r="B66" s="57" t="s">
        <v>20</v>
      </c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</row>
    <row r="67" spans="2:25">
      <c r="B67" s="57" t="s">
        <v>113</v>
      </c>
      <c r="C67" s="124"/>
      <c r="D67" s="79"/>
      <c r="E67" s="124"/>
      <c r="F67" s="81"/>
      <c r="G67" s="124"/>
      <c r="H67" s="79"/>
      <c r="I67" s="124"/>
      <c r="J67" s="81"/>
      <c r="K67" s="124"/>
      <c r="L67" s="79"/>
      <c r="M67" s="124"/>
      <c r="N67" s="76"/>
      <c r="O67" s="124"/>
      <c r="P67" s="79"/>
      <c r="Q67" s="124"/>
      <c r="R67" s="81"/>
      <c r="S67" s="124"/>
      <c r="T67" s="79"/>
      <c r="U67" s="124"/>
      <c r="V67" s="76"/>
      <c r="W67" s="124"/>
      <c r="X67" s="79"/>
      <c r="Y67" s="124"/>
    </row>
    <row r="68" spans="2:25"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0"/>
      <c r="X68" s="80"/>
      <c r="Y68" s="80"/>
    </row>
    <row r="69" spans="2:25">
      <c r="B69" s="57" t="s">
        <v>22</v>
      </c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0"/>
      <c r="X69" s="80"/>
      <c r="Y69" s="80"/>
    </row>
    <row r="70" spans="2:25">
      <c r="B70" s="57" t="s">
        <v>113</v>
      </c>
      <c r="C70" s="124"/>
      <c r="D70" s="79"/>
      <c r="E70" s="124"/>
      <c r="F70" s="81"/>
      <c r="G70" s="124"/>
      <c r="H70" s="79"/>
      <c r="I70" s="124"/>
      <c r="J70" s="81"/>
      <c r="K70" s="124"/>
      <c r="L70" s="79"/>
      <c r="M70" s="124"/>
      <c r="N70" s="76"/>
      <c r="O70" s="124"/>
      <c r="P70" s="79"/>
      <c r="Q70" s="124"/>
      <c r="R70" s="81"/>
      <c r="S70" s="124"/>
      <c r="T70" s="79"/>
      <c r="U70" s="124"/>
      <c r="V70" s="76"/>
      <c r="W70" s="124"/>
      <c r="X70" s="79"/>
      <c r="Y70" s="124"/>
    </row>
    <row r="71" spans="2:25"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80"/>
      <c r="X71" s="80"/>
      <c r="Y71" s="80"/>
    </row>
    <row r="72" spans="2:25">
      <c r="B72" s="57" t="s">
        <v>24</v>
      </c>
      <c r="C72" s="124"/>
      <c r="D72" s="79"/>
      <c r="E72" s="124"/>
      <c r="F72" s="81"/>
      <c r="G72" s="124"/>
      <c r="H72" s="79"/>
      <c r="I72" s="124"/>
      <c r="J72" s="81"/>
      <c r="K72" s="124"/>
      <c r="L72" s="79"/>
      <c r="M72" s="124"/>
      <c r="N72" s="76"/>
      <c r="O72" s="124"/>
      <c r="P72" s="79"/>
      <c r="Q72" s="124"/>
      <c r="R72" s="81"/>
      <c r="S72" s="124"/>
      <c r="T72" s="79"/>
      <c r="U72" s="124"/>
      <c r="V72" s="76"/>
      <c r="W72" s="124"/>
      <c r="X72" s="79"/>
      <c r="Y72" s="124"/>
    </row>
  </sheetData>
  <sheetProtection algorithmName="SHA-512" hashValue="SKLPItE9GHXtJV6rDzcJ3sDc7Nlo45+wVDX4gzHdWE+sF7W1x1MtvBIFWauQ3HnZHtS/QHVnInutd2cXMkhtIg==" saltValue="kZB3RTfsbcExli2tFgQG8g==" spinCount="100000" sheet="1" selectLockedCells="1"/>
  <customSheetViews>
    <customSheetView guid="{6BAB6937-F4A7-406E-B6D7-F3AB26E9CB76}" showPageBreaks="1" showGridLines="0" fitToPage="1" printArea="1" topLeftCell="A4">
      <selection activeCell="Z76" sqref="Z76"/>
      <pageMargins left="0" right="0" top="0.31" bottom="0.55000000000000004" header="0.17" footer="0.28000000000000003"/>
      <printOptions horizontalCentered="1"/>
      <pageSetup paperSize="9" scale="10" orientation="portrait" r:id="rId1"/>
      <headerFooter alignWithMargins="0"/>
    </customSheetView>
    <customSheetView guid="{6FD7F56A-E857-4CED-A5A1-7DEC8753A8FB}" showGridLines="0" fitToPage="1" topLeftCell="A4">
      <selection activeCell="Z76" sqref="Z76"/>
      <pageMargins left="0" right="0" top="0.31" bottom="0.55000000000000004" header="0.17" footer="0.28000000000000003"/>
      <printOptions horizontalCentered="1"/>
      <pageSetup paperSize="9" scale="69" orientation="portrait" r:id="rId2"/>
      <headerFooter alignWithMargins="0"/>
    </customSheetView>
    <customSheetView guid="{91D31259-BF8C-4449-A829-EAD5467CE226}" showGridLines="0" fitToPage="1" topLeftCell="A4">
      <selection activeCell="Z76" sqref="Z76"/>
      <pageMargins left="0" right="0" top="0.31" bottom="0.55000000000000004" header="0.17" footer="0.28000000000000003"/>
      <printOptions horizontalCentered="1"/>
      <pageSetup paperSize="9" scale="69" orientation="portrait" r:id="rId3"/>
      <headerFooter alignWithMargins="0"/>
    </customSheetView>
  </customSheetViews>
  <dataValidations count="2">
    <dataValidation type="decimal" errorStyle="warning" allowBlank="1" showErrorMessage="1" errorTitle="Invalid Data" error="Only Numers allowed" sqref="C50:Y50 C41:Y42 C44:Y45 C47:Y48 C71:Y71 C62:Y63 C65:Y66 C68:Y69" xr:uid="{00000000-0002-0000-0C00-000000000000}">
      <formula1>0</formula1>
      <formula2>9.99999999999999E+36</formula2>
    </dataValidation>
    <dataValidation type="decimal" errorStyle="warning" allowBlank="1" showInputMessage="1" showErrorMessage="1" errorTitle="Invalid Data" error="Only numbers (whole or decimal) allowed" sqref="C19:Y30 C40:Y40 C43:Y43 C46:Y46 C49:Y49 C51:Y51 C61:Y61 C64:Y64 C67:Y67 C70:Y70 C72:Y72" xr:uid="{00000000-0002-0000-0C00-000001000000}">
      <formula1>0</formula1>
      <formula2>9.99999999999999E+56</formula2>
    </dataValidation>
  </dataValidations>
  <printOptions horizontalCentered="1" gridLinesSet="0"/>
  <pageMargins left="0" right="0" top="0.31" bottom="0.55000000000000004" header="0.17" footer="0.28000000000000003"/>
  <pageSetup paperSize="9" scale="69" orientation="portrait" r:id="rId4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9">
    <pageSetUpPr fitToPage="1"/>
  </sheetPr>
  <dimension ref="A2:L34"/>
  <sheetViews>
    <sheetView showGridLines="0" topLeftCell="B1" zoomScale="110" zoomScaleNormal="110" workbookViewId="0">
      <selection activeCell="I15" sqref="I15"/>
    </sheetView>
  </sheetViews>
  <sheetFormatPr defaultColWidth="8.85546875" defaultRowHeight="12.75"/>
  <cols>
    <col min="1" max="5" width="8.85546875" style="9" customWidth="1"/>
    <col min="6" max="6" width="3.5703125" style="9" customWidth="1"/>
    <col min="7" max="7" width="4" style="9" hidden="1" customWidth="1"/>
    <col min="8" max="8" width="12" style="9" customWidth="1"/>
    <col min="9" max="9" width="31.85546875" style="9" customWidth="1"/>
    <col min="10" max="16384" width="8.85546875" style="9"/>
  </cols>
  <sheetData>
    <row r="2" spans="1:12">
      <c r="F2" s="35"/>
      <c r="I2" s="72" t="s">
        <v>188</v>
      </c>
    </row>
    <row r="3" spans="1:12" ht="15.75">
      <c r="A3" s="23"/>
      <c r="B3" s="23"/>
      <c r="C3" s="23"/>
      <c r="D3" s="23"/>
      <c r="E3" s="23"/>
      <c r="F3" s="84"/>
      <c r="G3" s="23"/>
      <c r="H3" s="23"/>
      <c r="I3" s="23"/>
      <c r="J3" s="21"/>
      <c r="L3" s="21"/>
    </row>
    <row r="4" spans="1:12" ht="15.75">
      <c r="A4" s="85" t="s">
        <v>0</v>
      </c>
      <c r="B4" s="23"/>
      <c r="C4" s="23"/>
      <c r="D4" s="23"/>
      <c r="E4" s="23"/>
      <c r="F4" s="23"/>
      <c r="G4" s="23"/>
      <c r="H4" s="23"/>
      <c r="I4" s="23"/>
      <c r="J4" s="21"/>
    </row>
    <row r="5" spans="1:12" ht="15.75">
      <c r="A5" s="86" t="s">
        <v>89</v>
      </c>
      <c r="B5" s="23"/>
      <c r="C5" s="23"/>
      <c r="D5" s="23"/>
      <c r="E5" s="23"/>
      <c r="F5" s="23"/>
      <c r="G5" s="23"/>
      <c r="H5" s="23"/>
      <c r="I5" s="23"/>
      <c r="J5" s="21"/>
    </row>
    <row r="6" spans="1:12" ht="15.75">
      <c r="A6" s="23"/>
      <c r="B6" s="23"/>
      <c r="C6" s="23"/>
      <c r="D6" s="23"/>
      <c r="E6" s="23"/>
      <c r="F6" s="23"/>
      <c r="G6" s="23"/>
      <c r="H6" s="23"/>
      <c r="I6" s="23"/>
      <c r="J6" s="21"/>
    </row>
    <row r="7" spans="1:12">
      <c r="A7" s="21"/>
      <c r="B7" s="21"/>
      <c r="C7" s="21"/>
      <c r="D7" s="21"/>
      <c r="E7" s="21"/>
      <c r="F7" s="21"/>
      <c r="G7" s="21"/>
      <c r="H7" s="21"/>
      <c r="I7" s="21"/>
      <c r="J7" s="21"/>
    </row>
    <row r="10" spans="1:12">
      <c r="A10" s="34" t="s">
        <v>76</v>
      </c>
      <c r="I10" s="36" t="s">
        <v>77</v>
      </c>
      <c r="J10" s="21"/>
      <c r="K10" s="21"/>
    </row>
    <row r="12" spans="1:12">
      <c r="I12" s="72"/>
    </row>
    <row r="13" spans="1:12">
      <c r="A13" s="9" t="s">
        <v>78</v>
      </c>
      <c r="D13" s="83" t="s">
        <v>79</v>
      </c>
      <c r="I13" s="20">
        <f>I15+I17</f>
        <v>0</v>
      </c>
    </row>
    <row r="14" spans="1:12">
      <c r="I14" s="17"/>
    </row>
    <row r="15" spans="1:12">
      <c r="D15" s="83" t="s">
        <v>109</v>
      </c>
      <c r="I15" s="16"/>
    </row>
    <row r="16" spans="1:12">
      <c r="I16" s="17"/>
    </row>
    <row r="17" spans="1:11">
      <c r="D17" s="83" t="s">
        <v>110</v>
      </c>
      <c r="I17" s="16"/>
    </row>
    <row r="18" spans="1:11">
      <c r="I18" s="17"/>
    </row>
    <row r="19" spans="1:11">
      <c r="I19" s="17"/>
    </row>
    <row r="20" spans="1:11">
      <c r="I20" s="41"/>
    </row>
    <row r="21" spans="1:11">
      <c r="I21" s="17"/>
    </row>
    <row r="22" spans="1:11" ht="14.25" customHeight="1">
      <c r="A22" s="34" t="s">
        <v>81</v>
      </c>
      <c r="I22" s="16"/>
      <c r="J22" s="67"/>
      <c r="K22" s="67"/>
    </row>
    <row r="27" spans="1:11">
      <c r="A27" s="21"/>
      <c r="B27" s="21"/>
      <c r="C27" s="21"/>
      <c r="D27" s="21"/>
      <c r="H27" s="21"/>
      <c r="I27" s="21"/>
      <c r="J27" s="21"/>
      <c r="K27" s="21"/>
    </row>
    <row r="28" spans="1:11">
      <c r="A28" s="21"/>
      <c r="B28" s="21"/>
      <c r="C28" s="21"/>
      <c r="D28" s="21"/>
    </row>
    <row r="33" spans="1:11">
      <c r="A33" s="21"/>
      <c r="B33" s="21"/>
      <c r="C33" s="21"/>
      <c r="D33" s="21"/>
      <c r="H33" s="21"/>
      <c r="I33" s="21"/>
      <c r="J33" s="21"/>
      <c r="K33" s="21"/>
    </row>
    <row r="34" spans="1:11">
      <c r="A34" s="21"/>
      <c r="B34" s="21"/>
      <c r="C34" s="21"/>
      <c r="D34" s="21"/>
    </row>
  </sheetData>
  <sheetProtection algorithmName="SHA-512" hashValue="mIIhIN5hc1j8r7mDg1T2dtmFbNeA5kzEZxcqqU7kP2SO/uUEvBy5dwYZiTXe9B9IBxmRtmz13YU5aF1LCrLFaQ==" saltValue="lmtHA6BjpWIQKktx+gDsjw==" spinCount="100000" sheet="1" selectLockedCells="1"/>
  <customSheetViews>
    <customSheetView guid="{6BAB6937-F4A7-406E-B6D7-F3AB26E9CB76}" scale="110" showPageBreaks="1" showGridLines="0" fitToPage="1" printArea="1" hiddenColumns="1" topLeftCell="A6">
      <selection activeCell="I13" sqref="I13"/>
      <pageMargins left="0" right="0" top="0" bottom="0" header="0.5" footer="0.5"/>
      <printOptions horizontalCentered="1" verticalCentered="1"/>
      <pageSetup paperSize="9" scale="98" orientation="portrait" r:id="rId1"/>
      <headerFooter alignWithMargins="0"/>
    </customSheetView>
    <customSheetView guid="{6FD7F56A-E857-4CED-A5A1-7DEC8753A8FB}" scale="110" showGridLines="0" fitToPage="1" hiddenColumns="1" topLeftCell="A6">
      <selection activeCell="I13" sqref="I13"/>
      <pageMargins left="0" right="0" top="0" bottom="0" header="0.5" footer="0.5"/>
      <printOptions horizontalCentered="1" verticalCentered="1"/>
      <pageSetup paperSize="9" scale="94" orientation="portrait" r:id="rId2"/>
      <headerFooter alignWithMargins="0"/>
    </customSheetView>
    <customSheetView guid="{91D31259-BF8C-4449-A829-EAD5467CE226}" scale="110" showGridLines="0" fitToPage="1" hiddenColumns="1" topLeftCell="A6">
      <selection activeCell="I13" sqref="I13"/>
      <pageMargins left="0" right="0" top="0" bottom="0" header="0.5" footer="0.5"/>
      <printOptions horizontalCentered="1" verticalCentered="1"/>
      <pageSetup paperSize="9" scale="94" orientation="portrait" r:id="rId3"/>
      <headerFooter alignWithMargins="0"/>
    </customSheetView>
  </customSheetViews>
  <dataValidations count="1">
    <dataValidation type="whole" allowBlank="1" showInputMessage="1" showErrorMessage="1" errorTitle="Invalid Data" error="The data must be a whole number" sqref="I15 I17" xr:uid="{00000000-0002-0000-0D00-000000000000}">
      <formula1>0</formula1>
      <formula2>9.99999999999999E+33</formula2>
    </dataValidation>
  </dataValidations>
  <printOptions horizontalCentered="1" verticalCentered="1" gridLinesSet="0"/>
  <pageMargins left="0" right="0" top="0" bottom="0" header="0.5" footer="0.5"/>
  <pageSetup paperSize="9" scale="94" orientation="portrait" r:id="rId4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1"/>
  <dimension ref="A1:H33"/>
  <sheetViews>
    <sheetView showGridLines="0" zoomScaleNormal="100" workbookViewId="0">
      <selection activeCell="B5" sqref="B5"/>
    </sheetView>
  </sheetViews>
  <sheetFormatPr defaultColWidth="9.140625" defaultRowHeight="12.75"/>
  <cols>
    <col min="1" max="1" width="2" style="101" customWidth="1"/>
    <col min="2" max="2" width="38.85546875" style="101" customWidth="1"/>
    <col min="3" max="3" width="3" style="101" customWidth="1"/>
    <col min="4" max="4" width="36.140625" style="101" customWidth="1"/>
    <col min="5" max="5" width="1.85546875" style="101" customWidth="1"/>
    <col min="6" max="6" width="9.140625" style="101"/>
    <col min="7" max="16384" width="9.140625" style="102"/>
  </cols>
  <sheetData>
    <row r="1" spans="2:5">
      <c r="D1" s="111" t="s">
        <v>186</v>
      </c>
    </row>
    <row r="5" spans="2:5" ht="26.25" customHeight="1">
      <c r="B5" s="103"/>
      <c r="D5" s="104"/>
    </row>
    <row r="6" spans="2:5">
      <c r="B6" s="112" t="s">
        <v>29</v>
      </c>
      <c r="C6" s="113"/>
      <c r="D6" s="114" t="s">
        <v>30</v>
      </c>
      <c r="E6" s="107"/>
    </row>
    <row r="7" spans="2:5">
      <c r="B7" s="105" t="s">
        <v>31</v>
      </c>
    </row>
    <row r="11" spans="2:5" ht="31.5" customHeight="1">
      <c r="B11" s="103"/>
      <c r="D11" s="103"/>
    </row>
    <row r="12" spans="2:5">
      <c r="B12" s="115" t="s">
        <v>32</v>
      </c>
      <c r="C12" s="116"/>
      <c r="D12" s="105" t="s">
        <v>33</v>
      </c>
      <c r="E12" s="113"/>
    </row>
    <row r="13" spans="2:5" ht="12.75" customHeight="1">
      <c r="B13" s="105" t="s">
        <v>31</v>
      </c>
    </row>
    <row r="17" spans="2:8" ht="30" customHeight="1">
      <c r="B17" s="103"/>
      <c r="D17" s="103"/>
    </row>
    <row r="18" spans="2:8">
      <c r="B18" s="115" t="s">
        <v>34</v>
      </c>
      <c r="C18" s="116"/>
      <c r="D18" s="105" t="s">
        <v>80</v>
      </c>
      <c r="E18" s="117"/>
    </row>
    <row r="19" spans="2:8" ht="12.75" customHeight="1">
      <c r="B19" s="105" t="s">
        <v>35</v>
      </c>
      <c r="H19" s="106"/>
    </row>
    <row r="20" spans="2:8">
      <c r="B20" s="107"/>
    </row>
    <row r="21" spans="2:8">
      <c r="B21" s="117"/>
      <c r="C21" s="116"/>
      <c r="D21" s="117"/>
      <c r="E21" s="117"/>
    </row>
    <row r="24" spans="2:8" ht="38.25">
      <c r="B24" s="126" t="s">
        <v>396</v>
      </c>
    </row>
    <row r="25" spans="2:8" ht="12.75" customHeight="1">
      <c r="B25" s="108"/>
    </row>
    <row r="26" spans="2:8" ht="12.75" customHeight="1">
      <c r="B26" s="163"/>
    </row>
    <row r="27" spans="2:8">
      <c r="B27" s="109" t="s">
        <v>32</v>
      </c>
    </row>
    <row r="28" spans="2:8">
      <c r="B28" s="108"/>
    </row>
    <row r="29" spans="2:8">
      <c r="B29" s="163"/>
    </row>
    <row r="30" spans="2:8">
      <c r="B30" s="109" t="s">
        <v>34</v>
      </c>
    </row>
    <row r="31" spans="2:8">
      <c r="B31" s="108"/>
    </row>
    <row r="32" spans="2:8">
      <c r="B32" s="164"/>
    </row>
    <row r="33" spans="2:2">
      <c r="B33" s="110" t="s">
        <v>80</v>
      </c>
    </row>
  </sheetData>
  <sheetProtection algorithmName="SHA-512" hashValue="FVxsApa/f6ec+KA+koOBmdD91VXEPnTuDdDU7cYa8mwya4+j6YBW2hN11HHGrswCq7T1cErmRz7JU48xFXgqCA==" saltValue="2lcHoIRnzgX2gg8/Z21vlg==" spinCount="100000" sheet="1" selectLockedCells="1"/>
  <customSheetViews>
    <customSheetView guid="{6BAB6937-F4A7-406E-B6D7-F3AB26E9CB76}" showPageBreaks="1" showGridLines="0" printArea="1">
      <selection activeCell="H12" sqref="H12"/>
      <rowBreaks count="1" manualBreakCount="1">
        <brk id="28" max="65535" man="1"/>
      </rowBreaks>
      <pageMargins left="0.75" right="0.75" top="1" bottom="1" header="0.5" footer="0.5"/>
      <pageSetup paperSize="9" orientation="portrait" r:id="rId1"/>
      <headerFooter alignWithMargins="0"/>
    </customSheetView>
    <customSheetView guid="{6FD7F56A-E857-4CED-A5A1-7DEC8753A8FB}" showGridLines="0">
      <selection activeCell="H12" sqref="H12"/>
      <rowBreaks count="1" manualBreakCount="1">
        <brk id="28" max="65535" man="1"/>
      </rowBreaks>
      <pageMargins left="0.75" right="0.75" top="1" bottom="1" header="0.5" footer="0.5"/>
      <pageSetup paperSize="9" orientation="portrait" r:id="rId2"/>
      <headerFooter alignWithMargins="0"/>
    </customSheetView>
    <customSheetView guid="{91D31259-BF8C-4449-A829-EAD5467CE226}" showGridLines="0" topLeftCell="A16">
      <selection activeCell="B24" sqref="B24"/>
      <rowBreaks count="1" manualBreakCount="1">
        <brk id="28" max="65535" man="1"/>
      </rowBreaks>
      <pageMargins left="0.75" right="0.75" top="1" bottom="1" header="0.5" footer="0.5"/>
      <pageSetup paperSize="9" orientation="portrait" r:id="rId3"/>
      <headerFooter alignWithMargins="0"/>
    </customSheetView>
  </customSheetViews>
  <pageMargins left="0.75" right="0.75" top="1" bottom="1" header="0.5" footer="0.5"/>
  <pageSetup paperSize="9" orientation="portrait" r:id="rId4"/>
  <headerFooter alignWithMargins="0"/>
  <rowBreaks count="1" manualBreakCount="1">
    <brk id="20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/>
  <dimension ref="B1:K156"/>
  <sheetViews>
    <sheetView zoomScale="70" zoomScaleNormal="70" workbookViewId="0">
      <selection activeCell="E10" sqref="E10"/>
    </sheetView>
  </sheetViews>
  <sheetFormatPr defaultColWidth="9.140625" defaultRowHeight="18" customHeight="1"/>
  <cols>
    <col min="1" max="1" width="9.140625" style="121"/>
    <col min="2" max="2" width="79.85546875" style="121" customWidth="1"/>
    <col min="3" max="3" width="19.85546875" style="121" customWidth="1"/>
    <col min="4" max="4" width="13.85546875" style="121" bestFit="1" customWidth="1"/>
    <col min="5" max="5" width="13.85546875" style="121" customWidth="1"/>
    <col min="6" max="6" width="13.5703125" style="121" customWidth="1"/>
    <col min="7" max="7" width="9.140625" style="121"/>
    <col min="8" max="8" width="17.85546875" style="121" customWidth="1"/>
    <col min="9" max="9" width="9.140625" style="121"/>
    <col min="10" max="10" width="16.7109375" style="121" bestFit="1" customWidth="1"/>
    <col min="11" max="16384" width="9.140625" style="121"/>
  </cols>
  <sheetData>
    <row r="1" spans="2:11" ht="19.5"/>
    <row r="2" spans="2:11" ht="19.5"/>
    <row r="3" spans="2:11" ht="19.5">
      <c r="B3" s="120" t="s">
        <v>185</v>
      </c>
      <c r="C3" s="121" t="s">
        <v>286</v>
      </c>
      <c r="G3" s="123"/>
      <c r="H3" s="121" t="s">
        <v>433</v>
      </c>
      <c r="I3" s="158"/>
      <c r="J3" s="158"/>
    </row>
    <row r="4" spans="2:11" ht="19.5">
      <c r="B4" s="121" t="s">
        <v>287</v>
      </c>
      <c r="C4" s="121" t="s">
        <v>288</v>
      </c>
      <c r="E4" s="122"/>
      <c r="F4" s="159"/>
      <c r="G4" s="123"/>
      <c r="H4" s="160">
        <v>42094</v>
      </c>
      <c r="I4" s="121">
        <v>3</v>
      </c>
      <c r="J4" s="160" t="s">
        <v>289</v>
      </c>
      <c r="K4" s="121">
        <v>15</v>
      </c>
    </row>
    <row r="5" spans="2:11" ht="19.5">
      <c r="B5" s="121" t="s">
        <v>290</v>
      </c>
      <c r="C5" s="121" t="s">
        <v>291</v>
      </c>
      <c r="E5" s="122"/>
      <c r="F5" s="159"/>
      <c r="G5" s="123"/>
      <c r="H5" s="160">
        <v>42185</v>
      </c>
      <c r="I5" s="121">
        <v>6</v>
      </c>
      <c r="J5" s="160" t="s">
        <v>292</v>
      </c>
      <c r="K5" s="121">
        <v>15</v>
      </c>
    </row>
    <row r="6" spans="2:11" ht="19.5">
      <c r="B6" s="121" t="s">
        <v>154</v>
      </c>
      <c r="C6" s="121" t="s">
        <v>293</v>
      </c>
      <c r="E6" s="122"/>
      <c r="F6" s="159"/>
      <c r="G6" s="123"/>
      <c r="H6" s="160">
        <v>42277</v>
      </c>
      <c r="I6" s="121">
        <v>9</v>
      </c>
      <c r="J6" s="160" t="s">
        <v>285</v>
      </c>
      <c r="K6" s="121">
        <v>15</v>
      </c>
    </row>
    <row r="7" spans="2:11" ht="19.5">
      <c r="B7" s="121" t="s">
        <v>442</v>
      </c>
      <c r="C7" s="121" t="s">
        <v>304</v>
      </c>
      <c r="E7" s="122"/>
      <c r="F7" s="159"/>
      <c r="G7" s="123"/>
      <c r="H7" s="160">
        <v>42369</v>
      </c>
      <c r="I7" s="121">
        <v>12</v>
      </c>
      <c r="J7" s="160" t="s">
        <v>295</v>
      </c>
      <c r="K7" s="121">
        <v>15</v>
      </c>
    </row>
    <row r="8" spans="2:11" ht="19.5">
      <c r="B8" s="121" t="s">
        <v>173</v>
      </c>
      <c r="C8" s="121" t="s">
        <v>294</v>
      </c>
      <c r="E8" s="122"/>
      <c r="F8" s="159"/>
      <c r="G8" s="123"/>
      <c r="H8" s="160">
        <v>42460</v>
      </c>
      <c r="I8" s="121">
        <v>3</v>
      </c>
      <c r="J8" s="160" t="s">
        <v>289</v>
      </c>
      <c r="K8" s="121">
        <v>16</v>
      </c>
    </row>
    <row r="9" spans="2:11" ht="19.5">
      <c r="B9" s="121" t="s">
        <v>174</v>
      </c>
      <c r="C9" s="121" t="s">
        <v>296</v>
      </c>
      <c r="D9" s="123"/>
      <c r="E9" s="123"/>
      <c r="F9" s="159"/>
      <c r="G9" s="123"/>
      <c r="H9" s="160">
        <v>42551</v>
      </c>
      <c r="I9" s="121">
        <v>6</v>
      </c>
      <c r="J9" s="160" t="s">
        <v>292</v>
      </c>
      <c r="K9" s="121">
        <v>16</v>
      </c>
    </row>
    <row r="10" spans="2:11" ht="19.5">
      <c r="B10" s="121" t="s">
        <v>297</v>
      </c>
      <c r="C10" s="121" t="s">
        <v>298</v>
      </c>
      <c r="D10" s="123"/>
      <c r="E10" s="123"/>
      <c r="F10" s="159"/>
      <c r="G10" s="123"/>
      <c r="H10" s="160">
        <v>42643</v>
      </c>
      <c r="I10" s="121">
        <v>9</v>
      </c>
      <c r="J10" s="160" t="s">
        <v>285</v>
      </c>
      <c r="K10" s="121">
        <v>16</v>
      </c>
    </row>
    <row r="11" spans="2:11" ht="19.5">
      <c r="B11" s="121" t="s">
        <v>299</v>
      </c>
      <c r="C11" s="121" t="s">
        <v>300</v>
      </c>
      <c r="D11" s="123"/>
      <c r="E11" s="123"/>
      <c r="F11" s="159"/>
      <c r="G11" s="123"/>
      <c r="H11" s="160">
        <v>42735</v>
      </c>
      <c r="I11" s="121">
        <v>12</v>
      </c>
      <c r="J11" s="160" t="s">
        <v>295</v>
      </c>
      <c r="K11" s="121">
        <v>16</v>
      </c>
    </row>
    <row r="12" spans="2:11" ht="19.5">
      <c r="B12" s="121" t="s">
        <v>175</v>
      </c>
      <c r="C12" s="121" t="s">
        <v>301</v>
      </c>
      <c r="D12" s="123"/>
      <c r="E12" s="123"/>
      <c r="F12" s="159"/>
      <c r="G12" s="123"/>
      <c r="H12" s="160">
        <v>42825</v>
      </c>
      <c r="I12" s="121">
        <v>3</v>
      </c>
      <c r="J12" s="160" t="s">
        <v>289</v>
      </c>
      <c r="K12" s="121">
        <v>17</v>
      </c>
    </row>
    <row r="13" spans="2:11" ht="19.5">
      <c r="B13" s="121" t="s">
        <v>180</v>
      </c>
      <c r="C13" s="121" t="s">
        <v>302</v>
      </c>
      <c r="D13" s="123"/>
      <c r="E13" s="123"/>
      <c r="F13" s="159"/>
      <c r="G13" s="123"/>
      <c r="H13" s="160">
        <v>42916</v>
      </c>
      <c r="I13" s="121">
        <v>6</v>
      </c>
      <c r="J13" s="160" t="s">
        <v>292</v>
      </c>
      <c r="K13" s="121">
        <v>17</v>
      </c>
    </row>
    <row r="14" spans="2:11" ht="19.5">
      <c r="B14" s="121" t="s">
        <v>155</v>
      </c>
      <c r="C14" s="121" t="s">
        <v>303</v>
      </c>
      <c r="D14" s="123"/>
      <c r="E14" s="123"/>
      <c r="F14" s="159"/>
      <c r="G14" s="123"/>
      <c r="H14" s="160">
        <v>43008</v>
      </c>
      <c r="I14" s="121">
        <v>9</v>
      </c>
      <c r="J14" s="160" t="s">
        <v>285</v>
      </c>
      <c r="K14" s="121">
        <v>17</v>
      </c>
    </row>
    <row r="15" spans="2:11" ht="19.5">
      <c r="B15" s="121" t="s">
        <v>305</v>
      </c>
      <c r="C15" s="121" t="s">
        <v>306</v>
      </c>
      <c r="D15" s="123"/>
      <c r="E15" s="123"/>
      <c r="F15" s="159"/>
      <c r="G15" s="123"/>
      <c r="H15" s="160">
        <v>43100</v>
      </c>
      <c r="I15" s="121">
        <v>12</v>
      </c>
      <c r="J15" s="160" t="s">
        <v>295</v>
      </c>
      <c r="K15" s="121">
        <v>17</v>
      </c>
    </row>
    <row r="16" spans="2:11" ht="19.5">
      <c r="B16" s="121" t="s">
        <v>307</v>
      </c>
      <c r="C16" s="121" t="s">
        <v>308</v>
      </c>
      <c r="D16" s="123"/>
      <c r="E16" s="123"/>
      <c r="F16" s="159"/>
      <c r="G16" s="123"/>
      <c r="H16" s="160">
        <v>43190</v>
      </c>
      <c r="I16" s="121">
        <v>3</v>
      </c>
      <c r="J16" s="160" t="s">
        <v>289</v>
      </c>
      <c r="K16" s="121">
        <v>18</v>
      </c>
    </row>
    <row r="17" spans="2:11" ht="19.5">
      <c r="B17" s="121" t="s">
        <v>309</v>
      </c>
      <c r="C17" s="121" t="s">
        <v>310</v>
      </c>
      <c r="D17" s="123"/>
      <c r="E17" s="123"/>
      <c r="F17" s="159"/>
      <c r="G17" s="123"/>
      <c r="H17" s="160">
        <v>43281</v>
      </c>
      <c r="I17" s="121">
        <v>6</v>
      </c>
      <c r="J17" s="160" t="s">
        <v>292</v>
      </c>
      <c r="K17" s="121">
        <v>18</v>
      </c>
    </row>
    <row r="18" spans="2:11" ht="19.5">
      <c r="B18" s="121" t="s">
        <v>172</v>
      </c>
      <c r="C18" s="121" t="s">
        <v>311</v>
      </c>
      <c r="D18" s="123"/>
      <c r="E18" s="123"/>
      <c r="F18" s="159"/>
      <c r="G18" s="123"/>
      <c r="H18" s="160">
        <v>43373</v>
      </c>
      <c r="I18" s="121">
        <v>9</v>
      </c>
      <c r="J18" s="160" t="s">
        <v>285</v>
      </c>
      <c r="K18" s="121">
        <v>18</v>
      </c>
    </row>
    <row r="19" spans="2:11" ht="19.5">
      <c r="B19" s="121" t="s">
        <v>312</v>
      </c>
      <c r="C19" s="121" t="s">
        <v>313</v>
      </c>
      <c r="D19" s="123"/>
      <c r="E19" s="123"/>
      <c r="F19" s="159"/>
      <c r="G19" s="123"/>
      <c r="H19" s="160">
        <v>43465</v>
      </c>
      <c r="I19" s="121">
        <v>12</v>
      </c>
      <c r="J19" s="160" t="s">
        <v>295</v>
      </c>
      <c r="K19" s="121">
        <v>18</v>
      </c>
    </row>
    <row r="20" spans="2:11" ht="19.5">
      <c r="B20" s="121" t="s">
        <v>181</v>
      </c>
      <c r="C20" s="121" t="s">
        <v>314</v>
      </c>
      <c r="D20" s="123"/>
      <c r="E20" s="123"/>
      <c r="F20" s="159"/>
      <c r="G20" s="123"/>
      <c r="H20" s="160">
        <v>43555</v>
      </c>
      <c r="I20" s="121">
        <v>3</v>
      </c>
      <c r="J20" s="160" t="s">
        <v>289</v>
      </c>
      <c r="K20" s="121">
        <v>19</v>
      </c>
    </row>
    <row r="21" spans="2:11" ht="19.5">
      <c r="B21" s="121" t="s">
        <v>176</v>
      </c>
      <c r="C21" s="121" t="s">
        <v>315</v>
      </c>
      <c r="D21" s="123"/>
      <c r="E21" s="123"/>
      <c r="F21" s="159"/>
      <c r="G21" s="123"/>
      <c r="H21" s="160">
        <v>43646</v>
      </c>
      <c r="I21" s="121">
        <v>6</v>
      </c>
      <c r="J21" s="160" t="s">
        <v>292</v>
      </c>
      <c r="K21" s="121">
        <v>19</v>
      </c>
    </row>
    <row r="22" spans="2:11" ht="19.5">
      <c r="B22" s="121" t="s">
        <v>177</v>
      </c>
      <c r="C22" s="121" t="s">
        <v>316</v>
      </c>
      <c r="D22" s="123"/>
      <c r="E22" s="123"/>
      <c r="F22" s="159"/>
      <c r="G22" s="123"/>
      <c r="H22" s="160">
        <v>43738</v>
      </c>
      <c r="I22" s="121">
        <v>9</v>
      </c>
      <c r="J22" s="160" t="s">
        <v>285</v>
      </c>
      <c r="K22" s="121">
        <v>19</v>
      </c>
    </row>
    <row r="23" spans="2:11" ht="19.5">
      <c r="B23" s="121" t="s">
        <v>178</v>
      </c>
      <c r="C23" s="121" t="s">
        <v>317</v>
      </c>
      <c r="D23" s="123"/>
      <c r="E23" s="123"/>
      <c r="F23" s="159"/>
      <c r="G23" s="123"/>
      <c r="H23" s="160">
        <v>43830</v>
      </c>
      <c r="I23" s="121">
        <v>12</v>
      </c>
      <c r="J23" s="160" t="s">
        <v>295</v>
      </c>
      <c r="K23" s="121">
        <v>19</v>
      </c>
    </row>
    <row r="24" spans="2:11" ht="19.5">
      <c r="B24" s="121" t="s">
        <v>179</v>
      </c>
      <c r="C24" s="121" t="s">
        <v>318</v>
      </c>
      <c r="D24" s="123"/>
      <c r="E24" s="123"/>
      <c r="F24" s="159"/>
      <c r="G24" s="123"/>
      <c r="H24" s="160">
        <v>43921</v>
      </c>
      <c r="I24" s="121">
        <v>3</v>
      </c>
      <c r="J24" s="160" t="s">
        <v>289</v>
      </c>
      <c r="K24" s="121">
        <v>20</v>
      </c>
    </row>
    <row r="25" spans="2:11" ht="19.5">
      <c r="B25" s="121" t="s">
        <v>319</v>
      </c>
      <c r="C25" s="121" t="s">
        <v>320</v>
      </c>
      <c r="D25" s="123"/>
      <c r="E25" s="123"/>
      <c r="F25" s="159"/>
      <c r="G25" s="123"/>
      <c r="H25" s="160">
        <v>44012</v>
      </c>
      <c r="I25" s="121">
        <v>6</v>
      </c>
      <c r="J25" s="160" t="s">
        <v>292</v>
      </c>
      <c r="K25" s="121">
        <v>20</v>
      </c>
    </row>
    <row r="26" spans="2:11" ht="19.5">
      <c r="B26" s="121" t="s">
        <v>321</v>
      </c>
      <c r="C26" s="121" t="s">
        <v>322</v>
      </c>
      <c r="D26" s="123"/>
      <c r="E26" s="123"/>
      <c r="F26" s="159"/>
      <c r="G26" s="123"/>
      <c r="H26" s="160">
        <v>44104</v>
      </c>
      <c r="I26" s="121">
        <v>9</v>
      </c>
      <c r="J26" s="160" t="s">
        <v>285</v>
      </c>
      <c r="K26" s="121">
        <v>20</v>
      </c>
    </row>
    <row r="27" spans="2:11" ht="19.5">
      <c r="B27" s="121" t="s">
        <v>323</v>
      </c>
      <c r="C27" s="121" t="s">
        <v>324</v>
      </c>
      <c r="D27" s="123"/>
      <c r="E27" s="123"/>
      <c r="F27" s="159"/>
      <c r="G27" s="123"/>
      <c r="H27" s="160">
        <v>44196</v>
      </c>
      <c r="I27" s="121">
        <v>12</v>
      </c>
      <c r="J27" s="160" t="s">
        <v>295</v>
      </c>
      <c r="K27" s="121">
        <v>20</v>
      </c>
    </row>
    <row r="28" spans="2:11" ht="19.5">
      <c r="D28" s="123"/>
      <c r="E28" s="123"/>
      <c r="F28" s="159"/>
      <c r="H28" s="160">
        <v>44286</v>
      </c>
      <c r="I28" s="121">
        <v>3</v>
      </c>
      <c r="J28" s="160" t="s">
        <v>289</v>
      </c>
      <c r="K28" s="121">
        <v>21</v>
      </c>
    </row>
    <row r="29" spans="2:11" ht="19.5">
      <c r="D29" s="123"/>
      <c r="E29" s="123"/>
      <c r="F29" s="159"/>
      <c r="G29" s="123"/>
      <c r="H29" s="160">
        <v>44377</v>
      </c>
      <c r="I29" s="121">
        <v>6</v>
      </c>
      <c r="J29" s="160" t="s">
        <v>292</v>
      </c>
      <c r="K29" s="121">
        <v>21</v>
      </c>
    </row>
    <row r="30" spans="2:11" ht="19.5">
      <c r="D30" s="123"/>
      <c r="E30" s="123"/>
      <c r="F30" s="159"/>
      <c r="G30" s="123"/>
      <c r="H30" s="160">
        <v>44469</v>
      </c>
      <c r="I30" s="121">
        <v>9</v>
      </c>
      <c r="J30" s="160" t="s">
        <v>285</v>
      </c>
      <c r="K30" s="121">
        <v>21</v>
      </c>
    </row>
    <row r="31" spans="2:11" ht="19.5">
      <c r="D31" s="123"/>
      <c r="E31" s="123"/>
      <c r="F31" s="159"/>
      <c r="G31" s="123"/>
      <c r="H31" s="160">
        <v>44561</v>
      </c>
      <c r="I31" s="121">
        <v>12</v>
      </c>
      <c r="J31" s="160" t="s">
        <v>295</v>
      </c>
      <c r="K31" s="121">
        <v>21</v>
      </c>
    </row>
    <row r="32" spans="2:11" ht="19.5">
      <c r="D32" s="123"/>
      <c r="E32" s="123"/>
      <c r="F32" s="159"/>
      <c r="G32" s="123"/>
      <c r="H32" s="160">
        <v>44651</v>
      </c>
      <c r="I32" s="121">
        <v>3</v>
      </c>
      <c r="J32" s="160" t="s">
        <v>289</v>
      </c>
      <c r="K32" s="121">
        <v>22</v>
      </c>
    </row>
    <row r="33" spans="4:11" ht="19.5">
      <c r="D33" s="123"/>
      <c r="E33" s="123"/>
      <c r="F33" s="159"/>
      <c r="G33" s="123"/>
      <c r="H33" s="160">
        <v>44742</v>
      </c>
      <c r="I33" s="121">
        <v>6</v>
      </c>
      <c r="J33" s="160" t="s">
        <v>292</v>
      </c>
      <c r="K33" s="121">
        <v>22</v>
      </c>
    </row>
    <row r="34" spans="4:11" ht="19.5">
      <c r="D34" s="123"/>
      <c r="E34" s="123"/>
      <c r="F34" s="159"/>
      <c r="G34" s="123"/>
      <c r="H34" s="160">
        <v>44834</v>
      </c>
      <c r="I34" s="121">
        <v>9</v>
      </c>
      <c r="J34" s="160" t="s">
        <v>285</v>
      </c>
      <c r="K34" s="121">
        <v>22</v>
      </c>
    </row>
    <row r="35" spans="4:11" ht="19.5">
      <c r="D35" s="123"/>
      <c r="E35" s="123"/>
      <c r="F35" s="159"/>
      <c r="G35" s="123"/>
      <c r="H35" s="160">
        <v>44926</v>
      </c>
      <c r="I35" s="121">
        <v>12</v>
      </c>
      <c r="J35" s="160" t="s">
        <v>295</v>
      </c>
      <c r="K35" s="121">
        <v>22</v>
      </c>
    </row>
    <row r="36" spans="4:11" ht="19.5">
      <c r="D36" s="123"/>
      <c r="E36" s="123"/>
      <c r="F36" s="159"/>
      <c r="G36" s="123"/>
      <c r="H36" s="160">
        <v>45016</v>
      </c>
      <c r="I36" s="121">
        <v>3</v>
      </c>
      <c r="J36" s="160" t="s">
        <v>289</v>
      </c>
      <c r="K36" s="121">
        <v>23</v>
      </c>
    </row>
    <row r="37" spans="4:11" ht="19.5">
      <c r="D37" s="123"/>
      <c r="E37" s="123"/>
      <c r="F37" s="159"/>
      <c r="G37" s="123"/>
      <c r="H37" s="160">
        <v>45107</v>
      </c>
      <c r="I37" s="121">
        <v>6</v>
      </c>
      <c r="J37" s="160" t="s">
        <v>292</v>
      </c>
      <c r="K37" s="121">
        <v>23</v>
      </c>
    </row>
    <row r="38" spans="4:11" ht="19.5">
      <c r="D38" s="123"/>
      <c r="E38" s="123"/>
      <c r="F38" s="159"/>
      <c r="G38" s="123"/>
      <c r="H38" s="160">
        <v>45199</v>
      </c>
      <c r="I38" s="121">
        <v>9</v>
      </c>
      <c r="J38" s="160" t="s">
        <v>285</v>
      </c>
      <c r="K38" s="121">
        <v>23</v>
      </c>
    </row>
    <row r="39" spans="4:11" ht="19.5">
      <c r="D39" s="123"/>
      <c r="E39" s="123"/>
      <c r="F39" s="159"/>
      <c r="G39" s="123"/>
      <c r="H39" s="160">
        <v>45291</v>
      </c>
      <c r="I39" s="121">
        <v>12</v>
      </c>
      <c r="J39" s="160" t="s">
        <v>295</v>
      </c>
      <c r="K39" s="121">
        <v>23</v>
      </c>
    </row>
    <row r="40" spans="4:11" ht="19.5">
      <c r="D40" s="123"/>
      <c r="E40" s="123"/>
      <c r="F40" s="123"/>
      <c r="G40" s="123"/>
      <c r="H40" s="160">
        <v>45382</v>
      </c>
      <c r="I40" s="121">
        <v>3</v>
      </c>
      <c r="J40" s="160" t="s">
        <v>289</v>
      </c>
      <c r="K40" s="121">
        <v>24</v>
      </c>
    </row>
    <row r="41" spans="4:11" ht="19.5">
      <c r="D41" s="123"/>
      <c r="E41" s="123"/>
      <c r="F41" s="123"/>
      <c r="G41" s="123"/>
      <c r="H41" s="160">
        <v>45473</v>
      </c>
      <c r="I41" s="121">
        <v>6</v>
      </c>
      <c r="J41" s="160" t="s">
        <v>292</v>
      </c>
      <c r="K41" s="121">
        <v>24</v>
      </c>
    </row>
    <row r="42" spans="4:11" ht="19.5">
      <c r="D42" s="123"/>
      <c r="E42" s="123"/>
      <c r="F42" s="123"/>
      <c r="G42" s="123"/>
      <c r="H42" s="160">
        <v>45565</v>
      </c>
      <c r="I42" s="121">
        <v>9</v>
      </c>
      <c r="J42" s="160" t="s">
        <v>285</v>
      </c>
      <c r="K42" s="121">
        <v>24</v>
      </c>
    </row>
    <row r="43" spans="4:11" ht="19.5">
      <c r="D43" s="123"/>
      <c r="E43" s="123"/>
      <c r="F43" s="123"/>
      <c r="G43" s="123"/>
      <c r="H43" s="160">
        <v>45657</v>
      </c>
      <c r="I43" s="121">
        <v>12</v>
      </c>
      <c r="J43" s="160" t="s">
        <v>295</v>
      </c>
      <c r="K43" s="121">
        <v>24</v>
      </c>
    </row>
    <row r="44" spans="4:11" ht="19.5">
      <c r="D44" s="123"/>
      <c r="E44" s="123"/>
      <c r="F44" s="123"/>
      <c r="G44" s="123"/>
      <c r="H44" s="160">
        <v>45747</v>
      </c>
      <c r="I44" s="121">
        <v>3</v>
      </c>
      <c r="J44" s="160" t="s">
        <v>289</v>
      </c>
      <c r="K44" s="121">
        <v>25</v>
      </c>
    </row>
    <row r="45" spans="4:11" ht="19.5">
      <c r="D45" s="123"/>
      <c r="E45" s="123"/>
      <c r="F45" s="123"/>
      <c r="G45" s="123"/>
      <c r="H45" s="160">
        <v>45838</v>
      </c>
      <c r="I45" s="121">
        <v>6</v>
      </c>
      <c r="J45" s="160" t="s">
        <v>292</v>
      </c>
      <c r="K45" s="121">
        <v>25</v>
      </c>
    </row>
    <row r="46" spans="4:11" ht="19.5">
      <c r="D46" s="123"/>
      <c r="E46" s="123"/>
      <c r="F46" s="123"/>
      <c r="G46" s="123"/>
      <c r="H46" s="160">
        <v>45930</v>
      </c>
      <c r="I46" s="121">
        <v>9</v>
      </c>
      <c r="J46" s="160" t="s">
        <v>285</v>
      </c>
      <c r="K46" s="121">
        <v>25</v>
      </c>
    </row>
    <row r="47" spans="4:11" ht="19.5">
      <c r="D47" s="123"/>
      <c r="E47" s="123"/>
      <c r="F47" s="123"/>
      <c r="G47" s="123"/>
      <c r="H47" s="160">
        <v>46022</v>
      </c>
      <c r="I47" s="121">
        <v>12</v>
      </c>
      <c r="J47" s="160" t="s">
        <v>295</v>
      </c>
      <c r="K47" s="121">
        <v>25</v>
      </c>
    </row>
    <row r="48" spans="4:11" ht="19.5">
      <c r="D48" s="123"/>
      <c r="E48" s="123"/>
      <c r="F48" s="123"/>
      <c r="G48" s="123"/>
      <c r="H48" s="160">
        <v>46112</v>
      </c>
      <c r="I48" s="121">
        <v>3</v>
      </c>
      <c r="J48" s="160" t="s">
        <v>289</v>
      </c>
      <c r="K48" s="121">
        <v>26</v>
      </c>
    </row>
    <row r="49" spans="4:11" ht="19.5">
      <c r="D49" s="123"/>
      <c r="E49" s="123"/>
      <c r="F49" s="123"/>
      <c r="G49" s="123"/>
      <c r="H49" s="160">
        <v>46203</v>
      </c>
      <c r="I49" s="121">
        <v>6</v>
      </c>
      <c r="J49" s="160" t="s">
        <v>292</v>
      </c>
      <c r="K49" s="121">
        <v>26</v>
      </c>
    </row>
    <row r="50" spans="4:11" ht="19.5">
      <c r="D50" s="123"/>
      <c r="E50" s="123"/>
      <c r="F50" s="123"/>
      <c r="G50" s="123"/>
      <c r="H50" s="160">
        <v>46295</v>
      </c>
      <c r="I50" s="121">
        <v>9</v>
      </c>
      <c r="J50" s="160" t="s">
        <v>285</v>
      </c>
      <c r="K50" s="121">
        <v>26</v>
      </c>
    </row>
    <row r="51" spans="4:11" ht="19.5">
      <c r="D51" s="123"/>
      <c r="E51" s="123"/>
      <c r="F51" s="123"/>
      <c r="G51" s="123"/>
      <c r="H51" s="160">
        <v>46387</v>
      </c>
      <c r="I51" s="121">
        <v>12</v>
      </c>
      <c r="J51" s="160" t="s">
        <v>295</v>
      </c>
      <c r="K51" s="121">
        <v>26</v>
      </c>
    </row>
    <row r="52" spans="4:11" ht="19.5">
      <c r="D52" s="123"/>
      <c r="E52" s="123"/>
      <c r="F52" s="123"/>
      <c r="G52" s="123"/>
      <c r="H52" s="160">
        <v>46477</v>
      </c>
      <c r="I52" s="121">
        <v>3</v>
      </c>
      <c r="J52" s="160" t="s">
        <v>289</v>
      </c>
      <c r="K52" s="121">
        <v>27</v>
      </c>
    </row>
    <row r="53" spans="4:11" ht="19.5">
      <c r="D53" s="123"/>
      <c r="E53" s="123"/>
      <c r="F53" s="123"/>
      <c r="G53" s="123"/>
      <c r="H53" s="160">
        <v>46568</v>
      </c>
      <c r="I53" s="121">
        <v>6</v>
      </c>
      <c r="J53" s="160" t="s">
        <v>292</v>
      </c>
      <c r="K53" s="121">
        <v>27</v>
      </c>
    </row>
    <row r="54" spans="4:11" ht="19.5">
      <c r="D54" s="123"/>
      <c r="E54" s="123"/>
      <c r="F54" s="123"/>
      <c r="G54" s="123"/>
      <c r="H54" s="160">
        <v>46660</v>
      </c>
      <c r="I54" s="121">
        <v>9</v>
      </c>
      <c r="J54" s="160" t="s">
        <v>285</v>
      </c>
      <c r="K54" s="121">
        <v>27</v>
      </c>
    </row>
    <row r="55" spans="4:11" ht="19.5">
      <c r="D55" s="123"/>
      <c r="E55" s="123"/>
      <c r="F55" s="123"/>
      <c r="G55" s="123"/>
      <c r="H55" s="160">
        <v>46752</v>
      </c>
      <c r="I55" s="121">
        <v>12</v>
      </c>
      <c r="J55" s="160" t="s">
        <v>295</v>
      </c>
      <c r="K55" s="121">
        <v>27</v>
      </c>
    </row>
    <row r="56" spans="4:11" ht="19.5">
      <c r="D56" s="123"/>
      <c r="E56" s="123"/>
      <c r="F56" s="123"/>
      <c r="G56" s="123"/>
      <c r="H56" s="160">
        <v>46843</v>
      </c>
      <c r="I56" s="121">
        <v>3</v>
      </c>
      <c r="J56" s="160" t="s">
        <v>289</v>
      </c>
      <c r="K56" s="121">
        <v>28</v>
      </c>
    </row>
    <row r="57" spans="4:11" ht="19.5">
      <c r="D57" s="123"/>
      <c r="E57" s="123"/>
      <c r="F57" s="123"/>
      <c r="H57" s="160">
        <v>46934</v>
      </c>
      <c r="I57" s="121">
        <v>6</v>
      </c>
      <c r="J57" s="160" t="s">
        <v>292</v>
      </c>
      <c r="K57" s="121">
        <v>28</v>
      </c>
    </row>
    <row r="58" spans="4:11" ht="19.5">
      <c r="D58" s="123"/>
      <c r="E58" s="123"/>
      <c r="F58" s="123"/>
      <c r="H58" s="160">
        <v>47026</v>
      </c>
      <c r="I58" s="121">
        <v>9</v>
      </c>
      <c r="J58" s="160" t="s">
        <v>285</v>
      </c>
      <c r="K58" s="121">
        <v>28</v>
      </c>
    </row>
    <row r="59" spans="4:11" ht="19.5">
      <c r="D59" s="123"/>
      <c r="E59" s="123"/>
      <c r="F59" s="123"/>
      <c r="H59" s="160">
        <v>47118</v>
      </c>
      <c r="I59" s="121">
        <v>12</v>
      </c>
      <c r="J59" s="160" t="s">
        <v>295</v>
      </c>
      <c r="K59" s="121">
        <v>28</v>
      </c>
    </row>
    <row r="60" spans="4:11" ht="19.5">
      <c r="D60" s="123"/>
      <c r="E60" s="123"/>
      <c r="F60" s="123"/>
      <c r="H60" s="160">
        <v>47208</v>
      </c>
      <c r="I60" s="121">
        <v>3</v>
      </c>
      <c r="J60" s="160" t="s">
        <v>289</v>
      </c>
      <c r="K60" s="121">
        <v>29</v>
      </c>
    </row>
    <row r="61" spans="4:11" ht="19.5">
      <c r="D61" s="123"/>
      <c r="E61" s="123"/>
      <c r="F61" s="123"/>
      <c r="H61" s="160">
        <v>47299</v>
      </c>
      <c r="I61" s="121">
        <v>6</v>
      </c>
      <c r="J61" s="160" t="s">
        <v>292</v>
      </c>
      <c r="K61" s="121">
        <v>29</v>
      </c>
    </row>
    <row r="62" spans="4:11" ht="19.5">
      <c r="D62" s="123"/>
      <c r="E62" s="123"/>
      <c r="F62" s="123"/>
      <c r="H62" s="160">
        <v>47391</v>
      </c>
      <c r="I62" s="121">
        <v>9</v>
      </c>
      <c r="J62" s="160" t="s">
        <v>285</v>
      </c>
      <c r="K62" s="121">
        <v>29</v>
      </c>
    </row>
    <row r="63" spans="4:11" ht="19.5">
      <c r="D63" s="123"/>
      <c r="E63" s="123"/>
      <c r="F63" s="123"/>
      <c r="H63" s="160">
        <v>47483</v>
      </c>
      <c r="I63" s="121">
        <v>12</v>
      </c>
      <c r="J63" s="160" t="s">
        <v>295</v>
      </c>
      <c r="K63" s="121">
        <v>29</v>
      </c>
    </row>
    <row r="64" spans="4:11" ht="19.5">
      <c r="D64" s="123"/>
      <c r="E64" s="123"/>
      <c r="F64" s="123"/>
      <c r="H64" s="160">
        <v>47573</v>
      </c>
      <c r="I64" s="121">
        <v>3</v>
      </c>
      <c r="J64" s="160" t="s">
        <v>289</v>
      </c>
      <c r="K64" s="121">
        <v>30</v>
      </c>
    </row>
    <row r="65" spans="4:11" ht="19.5">
      <c r="D65" s="123"/>
      <c r="E65" s="123"/>
      <c r="F65" s="123"/>
      <c r="H65" s="160">
        <v>47664</v>
      </c>
      <c r="I65" s="121">
        <v>6</v>
      </c>
      <c r="J65" s="160" t="s">
        <v>292</v>
      </c>
      <c r="K65" s="121">
        <v>30</v>
      </c>
    </row>
    <row r="66" spans="4:11" ht="19.5">
      <c r="D66" s="123"/>
      <c r="E66" s="123"/>
      <c r="F66" s="123"/>
      <c r="H66" s="160">
        <v>47756</v>
      </c>
      <c r="I66" s="121">
        <v>9</v>
      </c>
      <c r="J66" s="160" t="s">
        <v>285</v>
      </c>
      <c r="K66" s="121">
        <v>30</v>
      </c>
    </row>
    <row r="67" spans="4:11" ht="19.5">
      <c r="D67" s="123"/>
      <c r="E67" s="123"/>
      <c r="F67" s="123"/>
      <c r="H67" s="160">
        <v>47848</v>
      </c>
      <c r="I67" s="121">
        <v>12</v>
      </c>
      <c r="J67" s="160" t="s">
        <v>295</v>
      </c>
      <c r="K67" s="121">
        <v>30</v>
      </c>
    </row>
    <row r="68" spans="4:11" ht="19.5">
      <c r="D68" s="123"/>
      <c r="E68" s="123"/>
      <c r="F68" s="123"/>
      <c r="H68" s="160">
        <v>47938</v>
      </c>
      <c r="I68" s="121">
        <v>3</v>
      </c>
      <c r="J68" s="160" t="s">
        <v>289</v>
      </c>
      <c r="K68" s="121">
        <v>31</v>
      </c>
    </row>
    <row r="69" spans="4:11" ht="19.5">
      <c r="F69" s="123"/>
      <c r="H69" s="160">
        <v>48029</v>
      </c>
      <c r="I69" s="121">
        <v>6</v>
      </c>
      <c r="J69" s="160" t="s">
        <v>292</v>
      </c>
      <c r="K69" s="121">
        <v>31</v>
      </c>
    </row>
    <row r="70" spans="4:11" ht="19.5">
      <c r="F70" s="123"/>
      <c r="H70" s="160">
        <v>48121</v>
      </c>
      <c r="I70" s="121">
        <v>9</v>
      </c>
      <c r="J70" s="160" t="s">
        <v>285</v>
      </c>
      <c r="K70" s="121">
        <v>31</v>
      </c>
    </row>
    <row r="71" spans="4:11" ht="19.5">
      <c r="F71" s="123"/>
      <c r="H71" s="160">
        <v>48213</v>
      </c>
      <c r="I71" s="121">
        <v>12</v>
      </c>
      <c r="J71" s="160" t="s">
        <v>295</v>
      </c>
      <c r="K71" s="121">
        <v>31</v>
      </c>
    </row>
    <row r="72" spans="4:11" ht="19.5">
      <c r="F72" s="123"/>
      <c r="H72" s="160">
        <v>48304</v>
      </c>
      <c r="I72" s="121">
        <v>3</v>
      </c>
      <c r="J72" s="160" t="s">
        <v>289</v>
      </c>
      <c r="K72" s="121">
        <v>32</v>
      </c>
    </row>
    <row r="73" spans="4:11" ht="19.5">
      <c r="F73" s="123"/>
      <c r="H73" s="160">
        <v>48395</v>
      </c>
      <c r="I73" s="121">
        <v>6</v>
      </c>
      <c r="J73" s="160" t="s">
        <v>292</v>
      </c>
      <c r="K73" s="121">
        <v>32</v>
      </c>
    </row>
    <row r="74" spans="4:11" ht="19.5">
      <c r="F74" s="123"/>
      <c r="H74" s="160">
        <v>48487</v>
      </c>
      <c r="I74" s="121">
        <v>9</v>
      </c>
      <c r="J74" s="160" t="s">
        <v>285</v>
      </c>
      <c r="K74" s="121">
        <v>32</v>
      </c>
    </row>
    <row r="75" spans="4:11" ht="19.5">
      <c r="F75" s="123"/>
      <c r="H75" s="160">
        <v>48579</v>
      </c>
      <c r="I75" s="121">
        <v>12</v>
      </c>
      <c r="J75" s="160" t="s">
        <v>295</v>
      </c>
      <c r="K75" s="121">
        <v>32</v>
      </c>
    </row>
    <row r="76" spans="4:11" ht="19.5">
      <c r="F76" s="123"/>
      <c r="H76" s="160">
        <v>48669</v>
      </c>
      <c r="I76" s="121">
        <v>3</v>
      </c>
      <c r="J76" s="160" t="s">
        <v>289</v>
      </c>
      <c r="K76" s="121">
        <v>33</v>
      </c>
    </row>
    <row r="77" spans="4:11" ht="19.5">
      <c r="F77" s="123"/>
      <c r="H77" s="160">
        <v>48760</v>
      </c>
      <c r="I77" s="121">
        <v>6</v>
      </c>
      <c r="J77" s="160" t="s">
        <v>292</v>
      </c>
      <c r="K77" s="121">
        <v>33</v>
      </c>
    </row>
    <row r="78" spans="4:11" ht="19.5">
      <c r="F78" s="123"/>
      <c r="H78" s="160">
        <v>48852</v>
      </c>
      <c r="I78" s="121">
        <v>9</v>
      </c>
      <c r="J78" s="160" t="s">
        <v>285</v>
      </c>
      <c r="K78" s="121">
        <v>33</v>
      </c>
    </row>
    <row r="79" spans="4:11" ht="19.5">
      <c r="F79" s="123"/>
      <c r="H79" s="160">
        <v>48944</v>
      </c>
      <c r="I79" s="121">
        <v>12</v>
      </c>
      <c r="J79" s="160" t="s">
        <v>295</v>
      </c>
      <c r="K79" s="121">
        <v>33</v>
      </c>
    </row>
    <row r="80" spans="4:11" ht="19.5">
      <c r="F80" s="123"/>
      <c r="H80" s="160">
        <v>49034</v>
      </c>
      <c r="I80" s="121">
        <v>3</v>
      </c>
      <c r="J80" s="160" t="s">
        <v>289</v>
      </c>
      <c r="K80" s="121">
        <v>34</v>
      </c>
    </row>
    <row r="81" spans="6:11" ht="19.5">
      <c r="F81" s="123"/>
      <c r="H81" s="160">
        <v>49125</v>
      </c>
      <c r="I81" s="121">
        <v>6</v>
      </c>
      <c r="J81" s="160" t="s">
        <v>292</v>
      </c>
      <c r="K81" s="121">
        <v>34</v>
      </c>
    </row>
    <row r="82" spans="6:11" ht="19.5">
      <c r="F82" s="123"/>
      <c r="H82" s="160">
        <v>49217</v>
      </c>
      <c r="I82" s="121">
        <v>9</v>
      </c>
      <c r="J82" s="160" t="s">
        <v>285</v>
      </c>
      <c r="K82" s="121">
        <v>34</v>
      </c>
    </row>
    <row r="83" spans="6:11" ht="19.5">
      <c r="F83" s="123"/>
      <c r="H83" s="160">
        <v>49309</v>
      </c>
      <c r="I83" s="121">
        <v>12</v>
      </c>
      <c r="J83" s="160" t="s">
        <v>295</v>
      </c>
      <c r="K83" s="121">
        <v>34</v>
      </c>
    </row>
    <row r="84" spans="6:11" ht="19.5">
      <c r="F84" s="123"/>
      <c r="H84" s="160">
        <v>49399</v>
      </c>
      <c r="I84" s="121">
        <v>3</v>
      </c>
      <c r="J84" s="160" t="s">
        <v>289</v>
      </c>
      <c r="K84" s="121">
        <v>35</v>
      </c>
    </row>
    <row r="85" spans="6:11" ht="19.5">
      <c r="F85" s="123"/>
      <c r="H85" s="160">
        <v>49490</v>
      </c>
      <c r="I85" s="121">
        <v>6</v>
      </c>
      <c r="J85" s="160" t="s">
        <v>292</v>
      </c>
      <c r="K85" s="121">
        <v>35</v>
      </c>
    </row>
    <row r="86" spans="6:11" ht="19.5">
      <c r="F86" s="123"/>
      <c r="H86" s="160">
        <v>49582</v>
      </c>
      <c r="I86" s="121">
        <v>9</v>
      </c>
      <c r="J86" s="160" t="s">
        <v>285</v>
      </c>
      <c r="K86" s="121">
        <v>35</v>
      </c>
    </row>
    <row r="87" spans="6:11" ht="19.5">
      <c r="F87" s="123"/>
      <c r="H87" s="160">
        <v>49674</v>
      </c>
      <c r="I87" s="121">
        <v>12</v>
      </c>
      <c r="J87" s="160" t="s">
        <v>295</v>
      </c>
      <c r="K87" s="121">
        <v>35</v>
      </c>
    </row>
    <row r="88" spans="6:11" ht="19.5">
      <c r="F88" s="123"/>
      <c r="H88" s="160">
        <v>49765</v>
      </c>
      <c r="I88" s="121">
        <v>3</v>
      </c>
      <c r="J88" s="160" t="s">
        <v>289</v>
      </c>
      <c r="K88" s="121">
        <v>36</v>
      </c>
    </row>
    <row r="89" spans="6:11" ht="19.5">
      <c r="F89" s="123"/>
      <c r="H89" s="160">
        <v>49856</v>
      </c>
      <c r="I89" s="121">
        <v>6</v>
      </c>
      <c r="J89" s="160" t="s">
        <v>292</v>
      </c>
      <c r="K89" s="121">
        <v>36</v>
      </c>
    </row>
    <row r="90" spans="6:11" ht="19.5">
      <c r="F90" s="123"/>
      <c r="H90" s="160">
        <v>49948</v>
      </c>
      <c r="I90" s="121">
        <v>9</v>
      </c>
      <c r="J90" s="160" t="s">
        <v>285</v>
      </c>
      <c r="K90" s="121">
        <v>36</v>
      </c>
    </row>
    <row r="91" spans="6:11" ht="19.5">
      <c r="F91" s="123"/>
      <c r="H91" s="160">
        <v>50040</v>
      </c>
      <c r="I91" s="121">
        <v>12</v>
      </c>
      <c r="J91" s="160" t="s">
        <v>295</v>
      </c>
      <c r="K91" s="121">
        <v>36</v>
      </c>
    </row>
    <row r="92" spans="6:11" ht="19.5">
      <c r="F92" s="123"/>
      <c r="H92" s="160">
        <v>50130</v>
      </c>
      <c r="I92" s="121">
        <v>3</v>
      </c>
      <c r="J92" s="160" t="s">
        <v>289</v>
      </c>
      <c r="K92" s="121">
        <v>37</v>
      </c>
    </row>
    <row r="93" spans="6:11" ht="19.5">
      <c r="F93" s="123"/>
      <c r="H93" s="160">
        <v>50221</v>
      </c>
      <c r="I93" s="121">
        <v>6</v>
      </c>
      <c r="J93" s="160" t="s">
        <v>292</v>
      </c>
      <c r="K93" s="121">
        <v>37</v>
      </c>
    </row>
    <row r="94" spans="6:11" ht="19.5">
      <c r="F94" s="123"/>
      <c r="H94" s="160">
        <v>50313</v>
      </c>
      <c r="I94" s="121">
        <v>9</v>
      </c>
      <c r="J94" s="160" t="s">
        <v>285</v>
      </c>
      <c r="K94" s="121">
        <v>37</v>
      </c>
    </row>
    <row r="95" spans="6:11" ht="19.5">
      <c r="F95" s="123"/>
      <c r="H95" s="160">
        <v>50405</v>
      </c>
      <c r="I95" s="121">
        <v>12</v>
      </c>
      <c r="J95" s="160" t="s">
        <v>295</v>
      </c>
      <c r="K95" s="121">
        <v>37</v>
      </c>
    </row>
    <row r="96" spans="6:11" ht="19.5">
      <c r="F96" s="123"/>
      <c r="H96" s="160">
        <v>50495</v>
      </c>
      <c r="I96" s="121">
        <v>3</v>
      </c>
      <c r="J96" s="160" t="s">
        <v>289</v>
      </c>
      <c r="K96" s="121">
        <v>38</v>
      </c>
    </row>
    <row r="97" spans="6:11" ht="19.5">
      <c r="F97" s="123"/>
      <c r="H97" s="160">
        <v>50586</v>
      </c>
      <c r="I97" s="121">
        <v>6</v>
      </c>
      <c r="J97" s="160" t="s">
        <v>292</v>
      </c>
      <c r="K97" s="121">
        <v>38</v>
      </c>
    </row>
    <row r="98" spans="6:11" ht="19.5">
      <c r="F98" s="123"/>
      <c r="H98" s="160">
        <v>50678</v>
      </c>
      <c r="I98" s="121">
        <v>9</v>
      </c>
      <c r="J98" s="160" t="s">
        <v>285</v>
      </c>
      <c r="K98" s="121">
        <v>38</v>
      </c>
    </row>
    <row r="99" spans="6:11" ht="19.5">
      <c r="F99" s="123"/>
      <c r="H99" s="160">
        <v>50770</v>
      </c>
      <c r="I99" s="121">
        <v>12</v>
      </c>
      <c r="J99" s="160" t="s">
        <v>295</v>
      </c>
      <c r="K99" s="121">
        <v>38</v>
      </c>
    </row>
    <row r="100" spans="6:11" ht="19.5">
      <c r="F100" s="123"/>
      <c r="H100" s="160">
        <v>50860</v>
      </c>
      <c r="I100" s="121">
        <v>3</v>
      </c>
      <c r="J100" s="160" t="s">
        <v>289</v>
      </c>
      <c r="K100" s="121">
        <v>39</v>
      </c>
    </row>
    <row r="101" spans="6:11" ht="19.5">
      <c r="F101" s="123"/>
      <c r="H101" s="160">
        <v>50951</v>
      </c>
      <c r="I101" s="121">
        <v>6</v>
      </c>
      <c r="J101" s="160" t="s">
        <v>292</v>
      </c>
      <c r="K101" s="121">
        <v>39</v>
      </c>
    </row>
    <row r="102" spans="6:11" ht="19.5">
      <c r="F102" s="123"/>
      <c r="H102" s="160">
        <v>51043</v>
      </c>
      <c r="I102" s="121">
        <v>9</v>
      </c>
      <c r="J102" s="160" t="s">
        <v>285</v>
      </c>
      <c r="K102" s="121">
        <v>39</v>
      </c>
    </row>
    <row r="103" spans="6:11" ht="19.5">
      <c r="F103" s="123"/>
      <c r="H103" s="160">
        <v>51135</v>
      </c>
      <c r="I103" s="121">
        <v>12</v>
      </c>
      <c r="J103" s="160" t="s">
        <v>295</v>
      </c>
      <c r="K103" s="121">
        <v>39</v>
      </c>
    </row>
    <row r="104" spans="6:11" ht="19.5">
      <c r="F104" s="123"/>
      <c r="H104" s="160">
        <v>51226</v>
      </c>
      <c r="I104" s="121">
        <v>3</v>
      </c>
      <c r="J104" s="160" t="s">
        <v>289</v>
      </c>
      <c r="K104" s="121">
        <v>40</v>
      </c>
    </row>
    <row r="105" spans="6:11" ht="19.5">
      <c r="F105" s="123"/>
      <c r="H105" s="160">
        <v>51317</v>
      </c>
      <c r="I105" s="121">
        <v>6</v>
      </c>
      <c r="J105" s="160" t="s">
        <v>292</v>
      </c>
      <c r="K105" s="121">
        <v>40</v>
      </c>
    </row>
    <row r="106" spans="6:11" ht="19.5">
      <c r="F106" s="123"/>
      <c r="H106" s="160">
        <v>51409</v>
      </c>
      <c r="I106" s="121">
        <v>9</v>
      </c>
      <c r="J106" s="160" t="s">
        <v>285</v>
      </c>
      <c r="K106" s="121">
        <v>40</v>
      </c>
    </row>
    <row r="107" spans="6:11" ht="19.5">
      <c r="F107" s="123"/>
      <c r="H107" s="160">
        <v>51501</v>
      </c>
      <c r="I107" s="121">
        <v>12</v>
      </c>
      <c r="J107" s="160" t="s">
        <v>295</v>
      </c>
      <c r="K107" s="121">
        <v>40</v>
      </c>
    </row>
    <row r="108" spans="6:11" ht="19.5">
      <c r="F108" s="123"/>
      <c r="H108" s="160">
        <v>51591</v>
      </c>
      <c r="I108" s="121">
        <v>3</v>
      </c>
      <c r="J108" s="160" t="s">
        <v>289</v>
      </c>
      <c r="K108" s="121">
        <v>41</v>
      </c>
    </row>
    <row r="109" spans="6:11" ht="19.5">
      <c r="F109" s="123"/>
      <c r="H109" s="160">
        <v>51682</v>
      </c>
      <c r="I109" s="121">
        <v>6</v>
      </c>
      <c r="J109" s="160" t="s">
        <v>292</v>
      </c>
      <c r="K109" s="121">
        <v>41</v>
      </c>
    </row>
    <row r="110" spans="6:11" ht="19.5">
      <c r="F110" s="123"/>
      <c r="H110" s="160">
        <v>51774</v>
      </c>
      <c r="I110" s="121">
        <v>9</v>
      </c>
      <c r="J110" s="160" t="s">
        <v>285</v>
      </c>
      <c r="K110" s="121">
        <v>41</v>
      </c>
    </row>
    <row r="111" spans="6:11" ht="19.5">
      <c r="F111" s="123"/>
      <c r="H111" s="160">
        <v>51866</v>
      </c>
      <c r="I111" s="121">
        <v>12</v>
      </c>
      <c r="J111" s="160" t="s">
        <v>295</v>
      </c>
      <c r="K111" s="121">
        <v>41</v>
      </c>
    </row>
    <row r="112" spans="6:11" ht="19.5">
      <c r="F112" s="123"/>
      <c r="H112" s="160">
        <v>51956</v>
      </c>
      <c r="I112" s="121">
        <v>3</v>
      </c>
      <c r="J112" s="160" t="s">
        <v>289</v>
      </c>
      <c r="K112" s="121">
        <v>42</v>
      </c>
    </row>
    <row r="113" spans="6:11" ht="19.5">
      <c r="F113" s="123"/>
      <c r="H113" s="160">
        <v>52047</v>
      </c>
      <c r="I113" s="121">
        <v>6</v>
      </c>
      <c r="J113" s="160" t="s">
        <v>292</v>
      </c>
      <c r="K113" s="121">
        <v>42</v>
      </c>
    </row>
    <row r="114" spans="6:11" ht="19.5">
      <c r="F114" s="123"/>
      <c r="H114" s="160">
        <v>52139</v>
      </c>
      <c r="I114" s="121">
        <v>9</v>
      </c>
      <c r="J114" s="160" t="s">
        <v>285</v>
      </c>
      <c r="K114" s="121">
        <v>42</v>
      </c>
    </row>
    <row r="115" spans="6:11" ht="19.5">
      <c r="F115" s="123"/>
      <c r="H115" s="160">
        <v>52231</v>
      </c>
      <c r="I115" s="121">
        <v>12</v>
      </c>
      <c r="J115" s="160" t="s">
        <v>295</v>
      </c>
      <c r="K115" s="121">
        <v>42</v>
      </c>
    </row>
    <row r="116" spans="6:11" ht="19.5">
      <c r="F116" s="123"/>
      <c r="H116" s="160">
        <v>52321</v>
      </c>
      <c r="I116" s="121">
        <v>3</v>
      </c>
      <c r="J116" s="160" t="s">
        <v>289</v>
      </c>
      <c r="K116" s="121">
        <v>43</v>
      </c>
    </row>
    <row r="117" spans="6:11" ht="19.5">
      <c r="F117" s="123"/>
      <c r="H117" s="160">
        <v>52412</v>
      </c>
      <c r="I117" s="121">
        <v>6</v>
      </c>
      <c r="J117" s="160" t="s">
        <v>292</v>
      </c>
      <c r="K117" s="121">
        <v>43</v>
      </c>
    </row>
    <row r="118" spans="6:11" ht="19.5">
      <c r="F118" s="123"/>
      <c r="H118" s="160">
        <v>52504</v>
      </c>
      <c r="I118" s="121">
        <v>9</v>
      </c>
      <c r="J118" s="160" t="s">
        <v>285</v>
      </c>
      <c r="K118" s="121">
        <v>43</v>
      </c>
    </row>
    <row r="119" spans="6:11" ht="19.5">
      <c r="F119" s="123"/>
      <c r="H119" s="160">
        <v>52596</v>
      </c>
      <c r="I119" s="121">
        <v>12</v>
      </c>
      <c r="J119" s="160" t="s">
        <v>295</v>
      </c>
      <c r="K119" s="121">
        <v>43</v>
      </c>
    </row>
    <row r="120" spans="6:11" ht="19.5">
      <c r="F120" s="123"/>
      <c r="H120" s="160">
        <v>52687</v>
      </c>
      <c r="I120" s="121">
        <v>3</v>
      </c>
      <c r="J120" s="160" t="s">
        <v>289</v>
      </c>
      <c r="K120" s="121">
        <v>44</v>
      </c>
    </row>
    <row r="121" spans="6:11" ht="19.5">
      <c r="F121" s="123"/>
      <c r="H121" s="160">
        <v>52778</v>
      </c>
      <c r="I121" s="121">
        <v>6</v>
      </c>
      <c r="J121" s="160" t="s">
        <v>292</v>
      </c>
      <c r="K121" s="121">
        <v>44</v>
      </c>
    </row>
    <row r="122" spans="6:11" ht="19.5">
      <c r="F122" s="123"/>
      <c r="H122" s="160">
        <v>52870</v>
      </c>
      <c r="I122" s="121">
        <v>9</v>
      </c>
      <c r="J122" s="160" t="s">
        <v>285</v>
      </c>
      <c r="K122" s="121">
        <v>44</v>
      </c>
    </row>
    <row r="123" spans="6:11" ht="19.5">
      <c r="F123" s="123"/>
      <c r="H123" s="160">
        <v>52962</v>
      </c>
      <c r="I123" s="121">
        <v>12</v>
      </c>
      <c r="J123" s="160" t="s">
        <v>295</v>
      </c>
      <c r="K123" s="121">
        <v>44</v>
      </c>
    </row>
    <row r="124" spans="6:11" ht="19.5">
      <c r="F124" s="123"/>
      <c r="H124" s="160">
        <v>53052</v>
      </c>
      <c r="I124" s="121">
        <v>3</v>
      </c>
      <c r="J124" s="160" t="s">
        <v>289</v>
      </c>
      <c r="K124" s="121">
        <v>45</v>
      </c>
    </row>
    <row r="125" spans="6:11" ht="19.5">
      <c r="F125" s="123"/>
      <c r="H125" s="160">
        <v>53143</v>
      </c>
      <c r="I125" s="121">
        <v>6</v>
      </c>
      <c r="J125" s="160" t="s">
        <v>292</v>
      </c>
      <c r="K125" s="121">
        <v>45</v>
      </c>
    </row>
    <row r="126" spans="6:11" ht="19.5">
      <c r="F126" s="123"/>
      <c r="H126" s="160">
        <v>53235</v>
      </c>
      <c r="I126" s="121">
        <v>9</v>
      </c>
      <c r="J126" s="160" t="s">
        <v>285</v>
      </c>
      <c r="K126" s="121">
        <v>45</v>
      </c>
    </row>
    <row r="127" spans="6:11" ht="19.5">
      <c r="F127" s="123"/>
      <c r="H127" s="160">
        <v>53327</v>
      </c>
      <c r="I127" s="121">
        <v>12</v>
      </c>
      <c r="J127" s="160" t="s">
        <v>295</v>
      </c>
      <c r="K127" s="121">
        <v>45</v>
      </c>
    </row>
    <row r="128" spans="6:11" ht="19.5">
      <c r="F128" s="123"/>
      <c r="H128" s="160">
        <v>53417</v>
      </c>
      <c r="I128" s="121">
        <v>3</v>
      </c>
      <c r="J128" s="160" t="s">
        <v>289</v>
      </c>
      <c r="K128" s="121">
        <v>46</v>
      </c>
    </row>
    <row r="129" spans="6:11" ht="19.5">
      <c r="F129" s="123"/>
      <c r="H129" s="160">
        <v>53508</v>
      </c>
      <c r="I129" s="121">
        <v>6</v>
      </c>
      <c r="J129" s="160" t="s">
        <v>292</v>
      </c>
      <c r="K129" s="121">
        <v>46</v>
      </c>
    </row>
    <row r="130" spans="6:11" ht="19.5">
      <c r="F130" s="123"/>
      <c r="H130" s="160">
        <v>53600</v>
      </c>
      <c r="I130" s="121">
        <v>9</v>
      </c>
      <c r="J130" s="160" t="s">
        <v>285</v>
      </c>
      <c r="K130" s="121">
        <v>46</v>
      </c>
    </row>
    <row r="131" spans="6:11" ht="19.5">
      <c r="F131" s="123"/>
      <c r="H131" s="160">
        <v>53692</v>
      </c>
      <c r="I131" s="121">
        <v>12</v>
      </c>
      <c r="J131" s="160" t="s">
        <v>295</v>
      </c>
      <c r="K131" s="121">
        <v>46</v>
      </c>
    </row>
    <row r="132" spans="6:11" ht="19.5">
      <c r="F132" s="123"/>
      <c r="H132" s="160">
        <v>53782</v>
      </c>
      <c r="I132" s="121">
        <v>3</v>
      </c>
      <c r="J132" s="160" t="s">
        <v>289</v>
      </c>
      <c r="K132" s="121">
        <v>47</v>
      </c>
    </row>
    <row r="133" spans="6:11" ht="19.5">
      <c r="F133" s="123"/>
      <c r="H133" s="160">
        <v>53873</v>
      </c>
      <c r="I133" s="121">
        <v>6</v>
      </c>
      <c r="J133" s="160" t="s">
        <v>292</v>
      </c>
      <c r="K133" s="121">
        <v>47</v>
      </c>
    </row>
    <row r="134" spans="6:11" ht="19.5">
      <c r="F134" s="123"/>
      <c r="H134" s="160">
        <v>53965</v>
      </c>
      <c r="I134" s="121">
        <v>9</v>
      </c>
      <c r="J134" s="160" t="s">
        <v>285</v>
      </c>
      <c r="K134" s="121">
        <v>47</v>
      </c>
    </row>
    <row r="135" spans="6:11" ht="19.5">
      <c r="F135" s="123"/>
      <c r="H135" s="160">
        <v>54057</v>
      </c>
      <c r="I135" s="121">
        <v>12</v>
      </c>
      <c r="J135" s="160" t="s">
        <v>295</v>
      </c>
      <c r="K135" s="121">
        <v>47</v>
      </c>
    </row>
    <row r="136" spans="6:11" ht="19.5">
      <c r="F136" s="123"/>
      <c r="H136" s="160">
        <v>54148</v>
      </c>
      <c r="I136" s="121">
        <v>3</v>
      </c>
      <c r="J136" s="160" t="s">
        <v>289</v>
      </c>
      <c r="K136" s="121">
        <v>48</v>
      </c>
    </row>
    <row r="137" spans="6:11" ht="19.5">
      <c r="F137" s="123"/>
      <c r="H137" s="160">
        <v>54239</v>
      </c>
      <c r="I137" s="121">
        <v>6</v>
      </c>
      <c r="J137" s="160" t="s">
        <v>292</v>
      </c>
      <c r="K137" s="121">
        <v>48</v>
      </c>
    </row>
    <row r="138" spans="6:11" ht="19.5">
      <c r="F138" s="123"/>
      <c r="H138" s="160">
        <v>54331</v>
      </c>
      <c r="I138" s="121">
        <v>9</v>
      </c>
      <c r="J138" s="160" t="s">
        <v>285</v>
      </c>
      <c r="K138" s="121">
        <v>48</v>
      </c>
    </row>
    <row r="139" spans="6:11" ht="19.5">
      <c r="F139" s="123"/>
      <c r="H139" s="160">
        <v>54423</v>
      </c>
      <c r="I139" s="121">
        <v>12</v>
      </c>
      <c r="J139" s="160" t="s">
        <v>295</v>
      </c>
      <c r="K139" s="121">
        <v>48</v>
      </c>
    </row>
    <row r="140" spans="6:11" ht="19.5">
      <c r="F140" s="123"/>
      <c r="H140" s="160">
        <v>54513</v>
      </c>
      <c r="I140" s="121">
        <v>3</v>
      </c>
      <c r="J140" s="160" t="s">
        <v>289</v>
      </c>
      <c r="K140" s="121">
        <v>49</v>
      </c>
    </row>
    <row r="141" spans="6:11" ht="19.5">
      <c r="F141" s="123"/>
      <c r="H141" s="160">
        <v>54604</v>
      </c>
      <c r="I141" s="121">
        <v>6</v>
      </c>
      <c r="J141" s="160" t="s">
        <v>292</v>
      </c>
      <c r="K141" s="121">
        <v>49</v>
      </c>
    </row>
    <row r="142" spans="6:11" ht="19.5">
      <c r="F142" s="123"/>
      <c r="H142" s="160">
        <v>54696</v>
      </c>
      <c r="I142" s="121">
        <v>9</v>
      </c>
      <c r="J142" s="160" t="s">
        <v>285</v>
      </c>
      <c r="K142" s="121">
        <v>49</v>
      </c>
    </row>
    <row r="143" spans="6:11" ht="19.5">
      <c r="F143" s="123"/>
      <c r="H143" s="160">
        <v>54788</v>
      </c>
      <c r="I143" s="121">
        <v>12</v>
      </c>
      <c r="J143" s="160" t="s">
        <v>295</v>
      </c>
      <c r="K143" s="121">
        <v>49</v>
      </c>
    </row>
    <row r="144" spans="6:11" ht="19.5">
      <c r="F144" s="123"/>
      <c r="H144" s="160">
        <v>54878</v>
      </c>
      <c r="I144" s="121">
        <v>3</v>
      </c>
      <c r="J144" s="160" t="s">
        <v>289</v>
      </c>
      <c r="K144" s="121">
        <v>50</v>
      </c>
    </row>
    <row r="145" spans="6:11" ht="19.5">
      <c r="F145" s="123"/>
      <c r="H145" s="160">
        <v>54969</v>
      </c>
      <c r="I145" s="121">
        <v>6</v>
      </c>
      <c r="J145" s="160" t="s">
        <v>292</v>
      </c>
      <c r="K145" s="121">
        <v>50</v>
      </c>
    </row>
    <row r="146" spans="6:11" ht="19.5">
      <c r="F146" s="123"/>
      <c r="H146" s="160">
        <v>55061</v>
      </c>
      <c r="I146" s="121">
        <v>9</v>
      </c>
      <c r="J146" s="160" t="s">
        <v>285</v>
      </c>
      <c r="K146" s="121">
        <v>50</v>
      </c>
    </row>
    <row r="147" spans="6:11" ht="19.5">
      <c r="F147" s="123"/>
      <c r="H147" s="160">
        <v>55153</v>
      </c>
      <c r="I147" s="121">
        <v>12</v>
      </c>
      <c r="J147" s="160" t="s">
        <v>295</v>
      </c>
      <c r="K147" s="121">
        <v>50</v>
      </c>
    </row>
    <row r="148" spans="6:11" ht="19.5">
      <c r="F148" s="123"/>
    </row>
    <row r="149" spans="6:11" ht="19.5">
      <c r="F149" s="123"/>
    </row>
    <row r="150" spans="6:11" ht="19.5">
      <c r="F150" s="123"/>
    </row>
    <row r="151" spans="6:11" ht="19.5">
      <c r="F151" s="123"/>
    </row>
    <row r="152" spans="6:11" ht="19.5">
      <c r="F152" s="123"/>
    </row>
    <row r="153" spans="6:11" ht="19.5">
      <c r="F153" s="123"/>
    </row>
    <row r="154" spans="6:11" ht="19.5">
      <c r="F154" s="123"/>
    </row>
    <row r="155" spans="6:11" ht="19.5">
      <c r="F155" s="123"/>
    </row>
    <row r="156" spans="6:11" ht="19.5">
      <c r="F156" s="123"/>
      <c r="I156" s="123"/>
      <c r="J156" s="123"/>
    </row>
  </sheetData>
  <sheetProtection selectLockedCells="1"/>
  <customSheetViews>
    <customSheetView guid="{6BAB6937-F4A7-406E-B6D7-F3AB26E9CB76}">
      <selection activeCell="D13" sqref="D13"/>
      <pageMargins left="0.7" right="0.7" top="0.75" bottom="0.75" header="0.3" footer="0.3"/>
      <pageSetup orientation="portrait" r:id="rId1"/>
    </customSheetView>
    <customSheetView guid="{6FD7F56A-E857-4CED-A5A1-7DEC8753A8FB}">
      <selection activeCell="D13" sqref="D13"/>
      <pageMargins left="0.7" right="0.7" top="0.75" bottom="0.75" header="0.3" footer="0.3"/>
      <pageSetup orientation="portrait" r:id="rId2"/>
    </customSheetView>
    <customSheetView guid="{91D31259-BF8C-4449-A829-EAD5467CE226}">
      <selection activeCell="D13" sqref="D13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D32"/>
  <sheetViews>
    <sheetView zoomScaleNormal="100" workbookViewId="0">
      <selection activeCell="B3" sqref="B3"/>
    </sheetView>
  </sheetViews>
  <sheetFormatPr defaultColWidth="8.85546875" defaultRowHeight="15"/>
  <cols>
    <col min="1" max="1" width="5.85546875" style="130" customWidth="1"/>
    <col min="2" max="2" width="81" style="131" customWidth="1"/>
    <col min="3" max="16384" width="8.85546875" style="131"/>
  </cols>
  <sheetData>
    <row r="1" spans="1:4">
      <c r="B1" s="165" t="s">
        <v>198</v>
      </c>
      <c r="C1" s="130"/>
      <c r="D1" s="130"/>
    </row>
    <row r="2" spans="1:4">
      <c r="B2" s="132" t="s">
        <v>199</v>
      </c>
      <c r="C2" s="130"/>
      <c r="D2" s="130"/>
    </row>
    <row r="3" spans="1:4">
      <c r="B3" s="166" t="s">
        <v>200</v>
      </c>
    </row>
    <row r="4" spans="1:4">
      <c r="B4" s="167"/>
    </row>
    <row r="5" spans="1:4">
      <c r="B5" s="168" t="s">
        <v>201</v>
      </c>
    </row>
    <row r="6" spans="1:4">
      <c r="A6" s="130">
        <v>1</v>
      </c>
      <c r="B6" s="132" t="s">
        <v>202</v>
      </c>
    </row>
    <row r="7" spans="1:4">
      <c r="A7" s="130">
        <v>2</v>
      </c>
      <c r="B7" s="132" t="s">
        <v>203</v>
      </c>
    </row>
    <row r="8" spans="1:4">
      <c r="A8" s="130">
        <v>3</v>
      </c>
      <c r="B8" s="132" t="s">
        <v>204</v>
      </c>
    </row>
    <row r="9" spans="1:4" ht="30">
      <c r="A9" s="130">
        <v>4</v>
      </c>
      <c r="B9" s="132" t="s">
        <v>205</v>
      </c>
    </row>
    <row r="10" spans="1:4">
      <c r="A10" s="130">
        <v>5</v>
      </c>
      <c r="B10" s="132" t="s">
        <v>206</v>
      </c>
    </row>
    <row r="11" spans="1:4">
      <c r="A11" s="130">
        <v>6</v>
      </c>
      <c r="B11" s="132" t="s">
        <v>207</v>
      </c>
    </row>
    <row r="12" spans="1:4">
      <c r="A12" s="130">
        <v>7</v>
      </c>
      <c r="B12" s="133" t="s">
        <v>208</v>
      </c>
    </row>
    <row r="13" spans="1:4" ht="30">
      <c r="A13" s="130">
        <v>8</v>
      </c>
      <c r="B13" s="132" t="s">
        <v>432</v>
      </c>
    </row>
    <row r="14" spans="1:4" ht="45">
      <c r="A14" s="130">
        <v>9</v>
      </c>
      <c r="B14" s="132" t="s">
        <v>440</v>
      </c>
    </row>
    <row r="15" spans="1:4" ht="30">
      <c r="A15" s="130">
        <v>10</v>
      </c>
      <c r="B15" s="133" t="s">
        <v>209</v>
      </c>
    </row>
    <row r="16" spans="1:4">
      <c r="A16" s="130">
        <v>11</v>
      </c>
      <c r="B16" s="132" t="s">
        <v>210</v>
      </c>
    </row>
    <row r="17" spans="1:2">
      <c r="B17" s="132"/>
    </row>
    <row r="18" spans="1:2">
      <c r="B18" s="168" t="s">
        <v>211</v>
      </c>
    </row>
    <row r="19" spans="1:2">
      <c r="A19" s="130">
        <v>12</v>
      </c>
      <c r="B19" s="132" t="str">
        <f>"Use the file name structure ""Company Code_CB30A_"&amp;'COVER PAGE'!$C$3&amp;"_MMMYYYY""."</f>
        <v>Use the file name structure "Company Code_CB30A_V1.2_MMMYYYY".</v>
      </c>
    </row>
    <row r="20" spans="1:2">
      <c r="A20" s="130">
        <v>13</v>
      </c>
      <c r="B20" s="132" t="s">
        <v>397</v>
      </c>
    </row>
    <row r="22" spans="1:2" s="134" customFormat="1">
      <c r="A22" s="176"/>
      <c r="B22" s="177" t="s">
        <v>435</v>
      </c>
    </row>
    <row r="23" spans="1:2" s="134" customFormat="1" ht="30">
      <c r="A23" s="176">
        <v>14</v>
      </c>
      <c r="B23" s="178" t="s">
        <v>436</v>
      </c>
    </row>
    <row r="24" spans="1:2" s="134" customFormat="1">
      <c r="A24" s="176">
        <v>15</v>
      </c>
      <c r="B24" s="178" t="s">
        <v>437</v>
      </c>
    </row>
    <row r="25" spans="1:2" s="134" customFormat="1" ht="30">
      <c r="A25" s="176">
        <v>16</v>
      </c>
      <c r="B25" s="178" t="s">
        <v>438</v>
      </c>
    </row>
    <row r="26" spans="1:2" s="134" customFormat="1" ht="30">
      <c r="A26" s="176">
        <v>17</v>
      </c>
      <c r="B26" s="178" t="str">
        <f>"Remember to save the file in the recommended naming convention ""Company Code_CB30A_"&amp;'COVER PAGE'!$C$3&amp;"_MMMYYYY"" as per instruction number 12."</f>
        <v>Remember to save the file in the recommended naming convention "Company Code_CB30A_V1.2_MMMYYYY" as per instruction number 12.</v>
      </c>
    </row>
    <row r="27" spans="1:2" s="134" customFormat="1">
      <c r="A27" s="176">
        <v>18</v>
      </c>
      <c r="B27" s="179" t="s">
        <v>439</v>
      </c>
    </row>
    <row r="28" spans="1:2" s="134" customFormat="1"/>
    <row r="29" spans="1:2" s="134" customFormat="1"/>
    <row r="30" spans="1:2" s="134" customFormat="1"/>
    <row r="31" spans="1:2" s="134" customFormat="1"/>
    <row r="32" spans="1:2" s="134" customFormat="1"/>
  </sheetData>
  <sheetProtection algorithmName="SHA-512" hashValue="av2kVHzuKGuFnOonuFgiV5dJf+QVODoI1edcWuvCMCRpiEqPZKRIZr5e72aOk921q/I1R8BGth4mYnloPVDfcg==" saltValue="wQ5bwbfXqjQKHZ/kDP7Txg==" spinCount="100000" sheet="1" selectLockedCells="1"/>
  <customSheetViews>
    <customSheetView guid="{6BAB6937-F4A7-406E-B6D7-F3AB26E9CB76}">
      <selection activeCell="B9" sqref="B9"/>
      <pageMargins left="0.7" right="0.7" top="0.75" bottom="0.75" header="0.3" footer="0.3"/>
    </customSheetView>
    <customSheetView guid="{6FD7F56A-E857-4CED-A5A1-7DEC8753A8FB}">
      <selection activeCell="B9" sqref="B9"/>
      <pageMargins left="0.7" right="0.7" top="0.75" bottom="0.75" header="0.3" footer="0.3"/>
    </customSheetView>
    <customSheetView guid="{91D31259-BF8C-4449-A829-EAD5467CE226}">
      <selection activeCell="B14" sqref="B14"/>
      <pageMargins left="0.7" right="0.7" top="0.75" bottom="0.75" header="0.3" footer="0.3"/>
    </customSheetView>
  </customSheetViews>
  <hyperlinks>
    <hyperlink ref="B3" r:id="rId1" xr:uid="{00000000-0004-0000-0100-000000000000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A1:Z293"/>
  <sheetViews>
    <sheetView zoomScaleNormal="100" workbookViewId="0"/>
  </sheetViews>
  <sheetFormatPr defaultColWidth="9.140625" defaultRowHeight="12.75"/>
  <cols>
    <col min="1" max="1" width="66.5703125" style="135" customWidth="1"/>
    <col min="2" max="2" width="24.7109375" style="136" customWidth="1"/>
    <col min="3" max="3" width="32.28515625" style="43" customWidth="1"/>
    <col min="4" max="4" width="31.5703125" style="43" customWidth="1"/>
    <col min="5" max="5" width="8.5703125" style="43" customWidth="1"/>
    <col min="6" max="6" width="9.140625" style="43" hidden="1" customWidth="1"/>
    <col min="7" max="16384" width="9.140625" style="43"/>
  </cols>
  <sheetData>
    <row r="1" spans="1:6" ht="21.75" customHeight="1" thickBot="1">
      <c r="A1" s="175" t="s">
        <v>434</v>
      </c>
      <c r="B1" s="175" t="e">
        <f ca="1">(TEXT(MID(RIGHT(MID(CELL("filename",'COVER PAGE'!A1),FIND("[",CELL("filename",'COVER PAGE'!A1))+1,FIND("]", CELL("filename",'COVER PAGE'!A1))-FIND("[",CELL("filename",'COVER PAGE'!A1))-1),LEN(MID(CELL("filename",'COVER PAGE'!A1),FIND("[",CELL("filename",'COVER PAGE'!A1))+1,FIND("]", CELL("filename",'COVER PAGE'!A1))-FIND("[",CELL("filename",'COVER PAGE'!A1))-1))-FIND("~",SUBSTITUTE(MID(CELL("filename",'COVER PAGE'!A1),FIND("[",CELL("filename",'COVER PAGE'!A1))+1,FIND("]", CELL("filename",'COVER PAGE'!A1))-FIND("[",CELL("filename",'COVER PAGE'!A1))-1),"_","~",3))),1,7),"yyyy-MM-dd"))=(TEXT(TEXT(DATE(YEAR('COVER PAGE'!F9),MONTH('COVER PAGE'!F9),DAY('COVER PAGE'!F9)),"MMM-YYYY"),"yyyy-MM-dd"))</f>
        <v>#VALUE!</v>
      </c>
      <c r="C1" s="172" t="e">
        <f ca="1">IF(B1=TRUE,0,1)</f>
        <v>#VALUE!</v>
      </c>
    </row>
    <row r="2" spans="1:6" ht="21">
      <c r="A2" s="174" t="s">
        <v>212</v>
      </c>
      <c r="B2" s="191" t="s">
        <v>213</v>
      </c>
      <c r="C2" s="193" t="s">
        <v>431</v>
      </c>
    </row>
    <row r="3" spans="1:6" ht="21.75" thickBot="1">
      <c r="A3" s="173" t="e">
        <f>VLOOKUP('COVER PAGE'!C7,Controls!B4:C28,1,FALSE)</f>
        <v>#N/A</v>
      </c>
      <c r="B3" s="192"/>
      <c r="C3" s="194"/>
    </row>
    <row r="4" spans="1:6" ht="46.5" customHeight="1" thickBot="1">
      <c r="A4" s="137"/>
      <c r="B4" s="138"/>
      <c r="C4" s="172" t="e">
        <f ca="1">SUM(COUNTIF(B7:B293,{"&gt;0.00001","&lt;-0.00001","Error"}))+C1</f>
        <v>#VALUE!</v>
      </c>
    </row>
    <row r="5" spans="1:6" ht="18.75">
      <c r="A5" s="125" t="s">
        <v>214</v>
      </c>
      <c r="B5" s="139"/>
    </row>
    <row r="6" spans="1:6">
      <c r="A6" s="140"/>
      <c r="B6" s="139"/>
    </row>
    <row r="7" spans="1:6" ht="63.75">
      <c r="A7" s="141" t="s">
        <v>329</v>
      </c>
      <c r="B7" s="169">
        <f>ROUND(ASCII2!B41-ASCII2!B5-ASCII2!B8-ASCII2!B11-ASCII2!B14-ASCII2!B17-ASCII2!B20-ASCII2!B23-ASCII2!B26-ASCII2!B29-ASCII2!B32-ASCII2!B35-ASCII2!B38,5)</f>
        <v>0</v>
      </c>
    </row>
    <row r="8" spans="1:6" ht="63.75">
      <c r="A8" s="141" t="s">
        <v>331</v>
      </c>
      <c r="B8" s="169">
        <f>ROUND(ASCII2!C41-ASCII2!C5-ASCII2!C8-ASCII2!C11-ASCII2!C14-ASCII2!C17-ASCII2!C20-ASCII2!C23-ASCII2!C26-ASCII2!C29-ASCII2!C32-ASCII2!C35-ASCII2!C38,5)</f>
        <v>0</v>
      </c>
      <c r="F8" s="43" t="s">
        <v>135</v>
      </c>
    </row>
    <row r="9" spans="1:6" ht="63.75">
      <c r="A9" s="141" t="s">
        <v>330</v>
      </c>
      <c r="B9" s="169">
        <f>ROUND(ASCII2!B42-ASCII2!B6-ASCII2!B9-ASCII2!B12-ASCII2!B15-ASCII2!B18-ASCII2!B21-ASCII2!B24-ASCII2!B27-ASCII2!B30-ASCII2!B33-ASCII2!B36-ASCII2!B39,5)</f>
        <v>0</v>
      </c>
      <c r="F9" s="43" t="s">
        <v>136</v>
      </c>
    </row>
    <row r="10" spans="1:6" ht="63.75">
      <c r="A10" s="141" t="s">
        <v>332</v>
      </c>
      <c r="B10" s="169">
        <f>ROUND(ASCII2!C42-ASCII2!C6-ASCII2!C9-ASCII2!C12-ASCII2!C15-ASCII2!C18-ASCII2!C21-ASCII2!C24-ASCII2!C27-ASCII2!C30-ASCII2!C33-ASCII2!C36-ASCII2!C39,5)</f>
        <v>0</v>
      </c>
      <c r="F10" s="43" t="s">
        <v>137</v>
      </c>
    </row>
    <row r="11" spans="1:6" ht="63.75">
      <c r="A11" s="141" t="s">
        <v>334</v>
      </c>
      <c r="B11" s="169">
        <f>ROUND(ASCII2!B43-ASCII2!B7-ASCII2!B10-ASCII2!B13-ASCII2!B16-ASCII2!B19-ASCII2!B22-ASCII2!B25-ASCII2!B28-ASCII2!B31-ASCII2!B34-ASCII2!B37-ASCII2!B40,5)</f>
        <v>0</v>
      </c>
      <c r="F11" s="43" t="s">
        <v>138</v>
      </c>
    </row>
    <row r="12" spans="1:6" ht="63.75">
      <c r="A12" s="141" t="s">
        <v>333</v>
      </c>
      <c r="B12" s="169">
        <f>ROUND(ASCII2!C43-ASCII2!C7-ASCII2!C10-ASCII2!C13-ASCII2!C16-ASCII2!C19-ASCII2!C22-ASCII2!C25-ASCII2!C28-ASCII2!C31-ASCII2!C34-ASCII2!C37-ASCII2!C40,5)</f>
        <v>0</v>
      </c>
      <c r="F12" s="43" t="s">
        <v>139</v>
      </c>
    </row>
    <row r="13" spans="1:6">
      <c r="A13" s="141"/>
      <c r="B13" s="169"/>
      <c r="F13" s="43" t="s">
        <v>140</v>
      </c>
    </row>
    <row r="14" spans="1:6" ht="63.75">
      <c r="A14" s="141" t="s">
        <v>348</v>
      </c>
      <c r="B14" s="169">
        <f>ROUND(ASCII2!B80-ASCII2!B44-ASCII2!B47-ASCII2!B50-ASCII2!B53-ASCII2!B56-ASCII2!B59-ASCII2!B62-ASCII2!B65-ASCII2!B68-ASCII2!B71-ASCII2!B74-ASCII2!B77,5)</f>
        <v>0</v>
      </c>
      <c r="F14" s="43" t="s">
        <v>141</v>
      </c>
    </row>
    <row r="15" spans="1:6" ht="63.75">
      <c r="A15" s="141" t="s">
        <v>349</v>
      </c>
      <c r="B15" s="169">
        <f>ROUND(ASCII2!C80-ASCII2!C44-ASCII2!C47-ASCII2!C50-ASCII2!C53-ASCII2!C56-ASCII2!C59-ASCII2!C62-ASCII2!C65-ASCII2!C68-ASCII2!C71-ASCII2!C74-ASCII2!C77,5)</f>
        <v>0</v>
      </c>
      <c r="F15" s="43" t="s">
        <v>142</v>
      </c>
    </row>
    <row r="16" spans="1:6" ht="63.75">
      <c r="A16" s="141" t="s">
        <v>350</v>
      </c>
      <c r="B16" s="169">
        <f>ROUND(ASCII2!B81-ASCII2!B45-ASCII2!B48-ASCII2!B51-ASCII2!B54-ASCII2!B57-ASCII2!B60-ASCII2!B63-ASCII2!B66-ASCII2!B69-ASCII2!B72-ASCII2!B75-ASCII2!B78,5)</f>
        <v>0</v>
      </c>
      <c r="F16" s="43" t="s">
        <v>143</v>
      </c>
    </row>
    <row r="17" spans="1:26" ht="63.75">
      <c r="A17" s="141" t="s">
        <v>351</v>
      </c>
      <c r="B17" s="169">
        <f>ROUND(ASCII2!C81-ASCII2!C45-ASCII2!C48-ASCII2!C51-ASCII2!C54-ASCII2!C57-ASCII2!C60-ASCII2!C63-ASCII2!C66-ASCII2!C69-ASCII2!C72-ASCII2!C75-ASCII2!C78,5)</f>
        <v>0</v>
      </c>
      <c r="F17" s="43" t="s">
        <v>144</v>
      </c>
    </row>
    <row r="18" spans="1:26" ht="76.5">
      <c r="A18" s="141" t="s">
        <v>352</v>
      </c>
      <c r="B18" s="169">
        <f>ROUND(ASCII2!B82-ASCII2!B46-ASCII2!B49-ASCII2!B52-ASCII2!B55-ASCII2!B58-ASCII2!B61-ASCII2!B64-ASCII2!B67-ASCII2!B70-ASCII2!B73-ASCII2!B76-ASCII2!B79,5)</f>
        <v>0</v>
      </c>
      <c r="F18" s="43" t="s">
        <v>103</v>
      </c>
    </row>
    <row r="19" spans="1:26" ht="76.5">
      <c r="A19" s="141" t="s">
        <v>353</v>
      </c>
      <c r="B19" s="169">
        <f>ROUND(ASCII2!C82-ASCII2!C46-ASCII2!C49-ASCII2!C52-ASCII2!C55-ASCII2!C58-ASCII2!C61-ASCII2!C64-ASCII2!C67-ASCII2!C70-ASCII2!C73-ASCII2!C76-ASCII2!C79,5)</f>
        <v>0</v>
      </c>
    </row>
    <row r="20" spans="1:26">
      <c r="A20" s="142"/>
      <c r="B20" s="169"/>
    </row>
    <row r="21" spans="1:26" ht="63.75">
      <c r="A21" s="141" t="s">
        <v>354</v>
      </c>
      <c r="B21" s="169">
        <f>ROUND(ASCII2!B119-ASCII2!B83-ASCII2!B86-ASCII2!B89-ASCII2!B92-ASCII2!B95-ASCII2!B98-ASCII2!B101-ASCII2!B104-ASCII2!B107-ASCII2!B110-ASCII2!B113-ASCII2!B116,5)</f>
        <v>0</v>
      </c>
    </row>
    <row r="22" spans="1:26" ht="63.75">
      <c r="A22" s="141" t="s">
        <v>355</v>
      </c>
      <c r="B22" s="169">
        <f>ROUND(ASCII2!C119-ASCII2!C83-ASCII2!C86-ASCII2!C89-ASCII2!C92-ASCII2!C95-ASCII2!C98-ASCII2!C101-ASCII2!C104-ASCII2!C107-ASCII2!C110-ASCII2!C113-ASCII2!C116,5)</f>
        <v>0</v>
      </c>
    </row>
    <row r="23" spans="1:26" ht="63.75">
      <c r="A23" s="141" t="s">
        <v>356</v>
      </c>
      <c r="B23" s="169">
        <f>ROUND(ASCII2!B120-ASCII2!B84-ASCII2!B87-ASCII2!B90-ASCII2!B93-ASCII2!B96-ASCII2!B99-ASCII2!B102-ASCII2!B105-ASCII2!B108-ASCII2!B111-ASCII2!B114-ASCII2!B117,5)</f>
        <v>0</v>
      </c>
    </row>
    <row r="24" spans="1:26" ht="63.75">
      <c r="A24" s="141" t="s">
        <v>357</v>
      </c>
      <c r="B24" s="169">
        <f>ROUND(ASCII2!C120-ASCII2!C84-ASCII2!C87-ASCII2!C90-ASCII2!C93-ASCII2!C96-ASCII2!C99-ASCII2!C102-ASCII2!C105-ASCII2!C108-ASCII2!C111-ASCII2!C114-ASCII2!C117,5)</f>
        <v>0</v>
      </c>
    </row>
    <row r="25" spans="1:26" s="143" customFormat="1" ht="63.75">
      <c r="A25" s="141" t="s">
        <v>358</v>
      </c>
      <c r="B25" s="169">
        <f>ROUND(ASCII2!B121-ASCII2!B85-ASCII2!B88-ASCII2!B91-ASCII2!B94-ASCII2!B97-ASCII2!B100-ASCII2!B103-ASCII2!B106-ASCII2!B109-ASCII2!B112-ASCII2!B115-ASCII2!B118,5)</f>
        <v>0</v>
      </c>
      <c r="C25" s="43"/>
      <c r="Z25" s="43"/>
    </row>
    <row r="26" spans="1:26" s="143" customFormat="1" ht="63.75">
      <c r="A26" s="141" t="s">
        <v>359</v>
      </c>
      <c r="B26" s="169">
        <f>ROUND(ASCII2!C121-ASCII2!C85-ASCII2!C88-ASCII2!C91-ASCII2!C94-ASCII2!C97-ASCII2!C100-ASCII2!C103-ASCII2!C106-ASCII2!C109-ASCII2!C112-ASCII2!C115-ASCII2!C118,5)</f>
        <v>0</v>
      </c>
      <c r="C26" s="43"/>
      <c r="Z26" s="43"/>
    </row>
    <row r="27" spans="1:26">
      <c r="A27" s="142"/>
      <c r="B27" s="169"/>
    </row>
    <row r="28" spans="1:26" ht="63.75">
      <c r="A28" s="141" t="s">
        <v>360</v>
      </c>
      <c r="B28" s="169">
        <f>ROUND(ASCII2!B158-ASCII2!B122-ASCII2!B125-ASCII2!B128-ASCII2!B131-ASCII2!B134-ASCII2!B137-ASCII2!B140-ASCII2!B143-ASCII2!B146-ASCII2!B149-ASCII2!B152-ASCII2!B155,5)</f>
        <v>0</v>
      </c>
    </row>
    <row r="29" spans="1:26" ht="63.75">
      <c r="A29" s="141" t="s">
        <v>361</v>
      </c>
      <c r="B29" s="169">
        <f>ROUND(ASCII2!C158-ASCII2!C122-ASCII2!C125-ASCII2!C128-ASCII2!C131-ASCII2!C134-ASCII2!C137-ASCII2!C140-ASCII2!C143-ASCII2!C146-ASCII2!C149-ASCII2!C152-ASCII2!C155,5)</f>
        <v>0</v>
      </c>
    </row>
    <row r="30" spans="1:26" ht="63.75">
      <c r="A30" s="141" t="s">
        <v>362</v>
      </c>
      <c r="B30" s="169">
        <f>ROUND(ASCII2!B159-ASCII2!B123-ASCII2!B126-ASCII2!B129-ASCII2!B132-ASCII2!B135-ASCII2!B138-ASCII2!B141-ASCII2!B144-ASCII2!B147-ASCII2!B150-ASCII2!B153-ASCII2!B156,5)</f>
        <v>0</v>
      </c>
    </row>
    <row r="31" spans="1:26" ht="63.75">
      <c r="A31" s="141" t="s">
        <v>363</v>
      </c>
      <c r="B31" s="169">
        <f>ROUND(ASCII2!C159-ASCII2!C123-ASCII2!C126-ASCII2!C129-ASCII2!C132-ASCII2!C135-ASCII2!C138-ASCII2!C141-ASCII2!C144-ASCII2!C147-ASCII2!C150-ASCII2!C153-ASCII2!C156,5)</f>
        <v>0</v>
      </c>
    </row>
    <row r="32" spans="1:26" ht="76.5">
      <c r="A32" s="141" t="s">
        <v>364</v>
      </c>
      <c r="B32" s="169">
        <f>ROUND(ASCII2!B160-ASCII2!B124-ASCII2!B127-ASCII2!B130-ASCII2!B133-ASCII2!B136-ASCII2!B139-ASCII2!B142-ASCII2!B145-ASCII2!B148-ASCII2!B151-ASCII2!B154-ASCII2!B157,5)</f>
        <v>0</v>
      </c>
    </row>
    <row r="33" spans="1:2" ht="63.75">
      <c r="A33" s="141" t="s">
        <v>365</v>
      </c>
      <c r="B33" s="169">
        <f>ROUND(ASCII2!C160-ASCII2!C124-ASCII2!C127-ASCII2!C130-ASCII2!C133-ASCII2!C136-ASCII2!C139-ASCII2!C142-ASCII2!C145-ASCII2!C148-ASCII2!C151-ASCII2!C154-ASCII2!C157,5)</f>
        <v>0</v>
      </c>
    </row>
    <row r="34" spans="1:2">
      <c r="A34" s="142"/>
      <c r="B34" s="169"/>
    </row>
    <row r="35" spans="1:2" ht="63.75">
      <c r="A35" s="141" t="s">
        <v>366</v>
      </c>
      <c r="B35" s="169">
        <f>ROUND(ASCII2!B197-ASCII2!B161-ASCII2!B164-ASCII2!B167-ASCII2!B170-ASCII2!B173-ASCII2!B176-ASCII2!B179-ASCII2!B182-ASCII2!B185-ASCII2!B188-ASCII2!B191-ASCII2!B194,5)</f>
        <v>0</v>
      </c>
    </row>
    <row r="36" spans="1:2" ht="63.75">
      <c r="A36" s="141" t="s">
        <v>367</v>
      </c>
      <c r="B36" s="169">
        <f>ROUND(ASCII2!C197-ASCII2!C161-ASCII2!C164-ASCII2!C167-ASCII2!C170-ASCII2!C173-ASCII2!C176-ASCII2!C179-ASCII2!C182-ASCII2!C185-ASCII2!C188-ASCII2!C191-ASCII2!C194,5)</f>
        <v>0</v>
      </c>
    </row>
    <row r="37" spans="1:2" ht="63.75">
      <c r="A37" s="141" t="s">
        <v>368</v>
      </c>
      <c r="B37" s="169">
        <f>ROUND(ASCII2!B198-ASCII2!B162-ASCII2!B165-ASCII2!B168-ASCII2!B171-ASCII2!B174-ASCII2!B177-ASCII2!B180-ASCII2!B183-ASCII2!B186-ASCII2!B189-ASCII2!B192-ASCII2!B195,5)</f>
        <v>0</v>
      </c>
    </row>
    <row r="38" spans="1:2" ht="63.75">
      <c r="A38" s="141" t="s">
        <v>369</v>
      </c>
      <c r="B38" s="169">
        <f>ROUND(ASCII2!C198-ASCII2!C162-ASCII2!C165-ASCII2!C168-ASCII2!C171-ASCII2!C174-ASCII2!C177-ASCII2!C180-ASCII2!C183-ASCII2!C186-ASCII2!C189-ASCII2!C192-ASCII2!C195,5)</f>
        <v>0</v>
      </c>
    </row>
    <row r="39" spans="1:2" ht="63.75">
      <c r="A39" s="141" t="s">
        <v>370</v>
      </c>
      <c r="B39" s="169">
        <f>ROUND(ASCII2!B199-ASCII2!B163-ASCII2!B166-ASCII2!B169-ASCII2!B172-ASCII2!B175-ASCII2!B178-ASCII2!B181-ASCII2!B184-ASCII2!B187-ASCII2!B190-ASCII2!B193-ASCII2!B196,5)</f>
        <v>0</v>
      </c>
    </row>
    <row r="40" spans="1:2" ht="63.75">
      <c r="A40" s="141" t="s">
        <v>371</v>
      </c>
      <c r="B40" s="169">
        <f>ROUND(ASCII2!C199-ASCII2!C163-ASCII2!C166-ASCII2!C169-ASCII2!C172-ASCII2!C175-ASCII2!C178-ASCII2!C181-ASCII2!C184-ASCII2!C187-ASCII2!C190-ASCII2!C193-ASCII2!C196,5)</f>
        <v>0</v>
      </c>
    </row>
    <row r="41" spans="1:2">
      <c r="A41" s="142"/>
      <c r="B41" s="169"/>
    </row>
    <row r="42" spans="1:2" ht="38.25">
      <c r="A42" s="141" t="s">
        <v>372</v>
      </c>
      <c r="B42" s="169">
        <f>ROUND(ASCII2!B200-ASCII2!B41-ASCII2!B80-ASCII2!B119-ASCII2!B158-ASCII2!B197,5)</f>
        <v>0</v>
      </c>
    </row>
    <row r="43" spans="1:2" ht="38.25">
      <c r="A43" s="141" t="s">
        <v>373</v>
      </c>
      <c r="B43" s="169">
        <f>ROUND(ASCII2!C200-ASCII2!C41-ASCII2!C80-ASCII2!C119-ASCII2!C158-ASCII2!C197,5)</f>
        <v>0</v>
      </c>
    </row>
    <row r="44" spans="1:2" ht="38.25">
      <c r="A44" s="141" t="s">
        <v>374</v>
      </c>
      <c r="B44" s="169">
        <f>ROUND(ASCII2!B201-ASCII2!B42-ASCII2!B81-ASCII2!B120-ASCII2!B159-ASCII2!B198,5)</f>
        <v>0</v>
      </c>
    </row>
    <row r="45" spans="1:2" ht="38.25">
      <c r="A45" s="141" t="s">
        <v>375</v>
      </c>
      <c r="B45" s="169">
        <f>ROUND(ASCII2!C201-ASCII2!C42-ASCII2!C81-ASCII2!C120-ASCII2!C159-ASCII2!C198,5)</f>
        <v>0</v>
      </c>
    </row>
    <row r="46" spans="1:2" ht="38.25">
      <c r="A46" s="141" t="s">
        <v>376</v>
      </c>
      <c r="B46" s="169">
        <f>ROUND(ASCII2!B202-ASCII2!B43-ASCII2!B82-ASCII2!B121-ASCII2!B160-ASCII2!B199,5)</f>
        <v>0</v>
      </c>
    </row>
    <row r="47" spans="1:2" ht="38.25">
      <c r="A47" s="141" t="s">
        <v>377</v>
      </c>
      <c r="B47" s="169">
        <f>ROUND(ASCII2!C202-ASCII2!C43-ASCII2!C82-ASCII2!C121-ASCII2!C160-ASCII2!C199,5)</f>
        <v>0</v>
      </c>
    </row>
    <row r="48" spans="1:2" ht="13.5" thickBot="1">
      <c r="A48" s="144"/>
      <c r="B48" s="170"/>
    </row>
    <row r="49" spans="1:2" ht="18.75">
      <c r="A49" s="125" t="s">
        <v>215</v>
      </c>
      <c r="B49" s="169"/>
    </row>
    <row r="50" spans="1:2">
      <c r="A50" s="142"/>
      <c r="B50" s="169"/>
    </row>
    <row r="51" spans="1:2" ht="51">
      <c r="A51" s="141" t="s">
        <v>378</v>
      </c>
      <c r="B51" s="169">
        <f>ROUND(ASCII2!B232-ASCII2!B204-ASCII2!B206-ASCII2!B208-ASCII2!B210-ASCII2!B212-ASCII2!B214-ASCII2!B216-ASCII2!B218-ASCII2!B220-ASCII2!B222-ASCII2!B224-ASCII2!B226-ASCII2!B228-ASCII2!B230,5)</f>
        <v>0</v>
      </c>
    </row>
    <row r="52" spans="1:2" ht="51">
      <c r="A52" s="141" t="s">
        <v>379</v>
      </c>
      <c r="B52" s="169">
        <f>ROUND(ASCII2!C232-ASCII2!C204-ASCII2!C206-ASCII2!C208-ASCII2!C210-ASCII2!C212-ASCII2!C214-ASCII2!C216-ASCII2!C218-ASCII2!C220-ASCII2!C222-ASCII2!C224-ASCII2!C226-ASCII2!C228-ASCII2!C230,5)</f>
        <v>0</v>
      </c>
    </row>
    <row r="53" spans="1:2" ht="51">
      <c r="A53" s="141" t="s">
        <v>380</v>
      </c>
      <c r="B53" s="169">
        <f>ROUND(ASCII2!B233-ASCII2!B205-ASCII2!B207-ASCII2!B209-ASCII2!B211-ASCII2!B213-ASCII2!B215-ASCII2!B217-ASCII2!B219-ASCII2!B221-ASCII2!B223-ASCII2!B225-ASCII2!B227-ASCII2!B229-ASCII2!B231,5)</f>
        <v>0</v>
      </c>
    </row>
    <row r="54" spans="1:2" ht="51">
      <c r="A54" s="141" t="s">
        <v>381</v>
      </c>
      <c r="B54" s="169">
        <f>ROUND(ASCII2!C233-ASCII2!C205-ASCII2!C207-ASCII2!C209-ASCII2!C211-ASCII2!C213-ASCII2!C215-ASCII2!C217-ASCII2!C219-ASCII2!C221-ASCII2!C223-ASCII2!C225-ASCII2!C227-ASCII2!C229-ASCII2!C231,5)</f>
        <v>0</v>
      </c>
    </row>
    <row r="55" spans="1:2">
      <c r="A55" s="141"/>
      <c r="B55" s="169"/>
    </row>
    <row r="56" spans="1:2" ht="51">
      <c r="A56" s="141" t="s">
        <v>392</v>
      </c>
      <c r="B56" s="169">
        <f>ROUND(ASCII2!B262-ASCII2!B234-ASCII2!B236-ASCII2!B238-ASCII2!B240-ASCII2!B242-ASCII2!B244-ASCII2!B246-ASCII2!B248-ASCII2!B250-ASCII2!B252-ASCII2!B254-ASCII2!B256-ASCII2!B258-ASCII2!B260,5)</f>
        <v>0</v>
      </c>
    </row>
    <row r="57" spans="1:2" ht="51">
      <c r="A57" s="141" t="s">
        <v>393</v>
      </c>
      <c r="B57" s="169">
        <f>ROUND(ASCII2!C262-ASCII2!C234-ASCII2!C236-ASCII2!C238-ASCII2!C240-ASCII2!C242-ASCII2!C244-ASCII2!C246-ASCII2!C248-ASCII2!C250-ASCII2!C252-ASCII2!C254-ASCII2!C256-ASCII2!C258-ASCII2!C260,5)</f>
        <v>0</v>
      </c>
    </row>
    <row r="58" spans="1:2" ht="51">
      <c r="A58" s="141" t="s">
        <v>394</v>
      </c>
      <c r="B58" s="169">
        <f>ROUND(ASCII2!B263-ASCII2!B235-ASCII2!B237-ASCII2!B239-ASCII2!B241-ASCII2!B243-ASCII2!B245-ASCII2!B247-ASCII2!B249-ASCII2!B251-ASCII2!B253-ASCII2!B255-ASCII2!B257-ASCII2!B259-ASCII2!B261,5)</f>
        <v>0</v>
      </c>
    </row>
    <row r="59" spans="1:2" ht="51">
      <c r="A59" s="141" t="s">
        <v>395</v>
      </c>
      <c r="B59" s="169">
        <f>ROUND(ASCII2!C263-ASCII2!C235-ASCII2!C237-ASCII2!C239-ASCII2!C241-ASCII2!C243-ASCII2!C245-ASCII2!C247-ASCII2!C249-ASCII2!C251-ASCII2!C253-ASCII2!C255-ASCII2!C257-ASCII2!C259-ASCII2!C261,5)</f>
        <v>0</v>
      </c>
    </row>
    <row r="60" spans="1:2">
      <c r="A60" s="141"/>
      <c r="B60" s="169"/>
    </row>
    <row r="61" spans="1:2" ht="51">
      <c r="A61" s="141" t="s">
        <v>398</v>
      </c>
      <c r="B61" s="169">
        <f>ROUND(ASCII2!B292-ASCII2!B264-ASCII2!B266-ASCII2!B268-ASCII2!B270-ASCII2!B272-ASCII2!B274-ASCII2!B276-ASCII2!B278-ASCII2!B280-ASCII2!B282-ASCII2!B284-ASCII2!B286-ASCII2!B288-ASCII2!B290,5)</f>
        <v>0</v>
      </c>
    </row>
    <row r="62" spans="1:2" ht="51">
      <c r="A62" s="141" t="s">
        <v>399</v>
      </c>
      <c r="B62" s="169">
        <f>ROUND(ASCII2!C292-ASCII2!C264-ASCII2!C266-ASCII2!C268-ASCII2!C270-ASCII2!C272-ASCII2!C274-ASCII2!C276-ASCII2!C278-ASCII2!C280-ASCII2!C282-ASCII2!C284-ASCII2!C286-ASCII2!C288-ASCII2!C290,5)</f>
        <v>0</v>
      </c>
    </row>
    <row r="63" spans="1:2" ht="51">
      <c r="A63" s="141" t="s">
        <v>400</v>
      </c>
      <c r="B63" s="169">
        <f>ROUND(ASCII2!B293-ASCII2!B265-ASCII2!B267-ASCII2!B269-ASCII2!B271-ASCII2!B273-ASCII2!B275-ASCII2!B277-ASCII2!B279-ASCII2!B281-ASCII2!B283-ASCII2!B285-ASCII2!B287-ASCII2!B289-ASCII2!B291,5)</f>
        <v>0</v>
      </c>
    </row>
    <row r="64" spans="1:2" ht="51">
      <c r="A64" s="141" t="s">
        <v>401</v>
      </c>
      <c r="B64" s="169">
        <f>ROUND(ASCII2!C293-ASCII2!C265-ASCII2!C267-ASCII2!C269-ASCII2!C271-ASCII2!C273-ASCII2!C275-ASCII2!C277-ASCII2!C279-ASCII2!C281-ASCII2!C283-ASCII2!C285-ASCII2!C287-ASCII2!C289-ASCII2!C291,5)</f>
        <v>0</v>
      </c>
    </row>
    <row r="65" spans="1:2">
      <c r="A65" s="141"/>
      <c r="B65" s="169"/>
    </row>
    <row r="66" spans="1:2" ht="51">
      <c r="A66" s="141" t="s">
        <v>402</v>
      </c>
      <c r="B66" s="169">
        <f>ROUND(ASCII2!B322-ASCII2!B294-ASCII2!B296-ASCII2!B298-ASCII2!B300-ASCII2!B302-ASCII2!B304-ASCII2!B306-ASCII2!B308-ASCII2!B310-ASCII2!B312-ASCII2!B314-ASCII2!B316-ASCII2!B318-ASCII2!B320,5)</f>
        <v>0</v>
      </c>
    </row>
    <row r="67" spans="1:2" ht="51">
      <c r="A67" s="141" t="s">
        <v>403</v>
      </c>
      <c r="B67" s="169">
        <f>ROUND(ASCII2!C322-ASCII2!C294-ASCII2!C296-ASCII2!C298-ASCII2!C300-ASCII2!C302-ASCII2!C304-ASCII2!C306-ASCII2!C308-ASCII2!C310-ASCII2!C312-ASCII2!C314-ASCII2!C316-ASCII2!C318-ASCII2!C320,5)</f>
        <v>0</v>
      </c>
    </row>
    <row r="68" spans="1:2" ht="51">
      <c r="A68" s="141" t="s">
        <v>404</v>
      </c>
      <c r="B68" s="169">
        <f>ROUND(ASCII2!B323-ASCII2!B295-ASCII2!B297-ASCII2!B299-ASCII2!B301-ASCII2!B303-ASCII2!B305-ASCII2!B307-ASCII2!B309-ASCII2!B311-ASCII2!B313-ASCII2!B315-ASCII2!B317-ASCII2!B319-ASCII2!B321,5)</f>
        <v>0</v>
      </c>
    </row>
    <row r="69" spans="1:2" ht="51">
      <c r="A69" s="141" t="s">
        <v>405</v>
      </c>
      <c r="B69" s="169">
        <f>ROUND(ASCII2!C323-ASCII2!C295-ASCII2!C297-ASCII2!C299-ASCII2!C301-ASCII2!C303-ASCII2!C305-ASCII2!C307-ASCII2!C309-ASCII2!C311-ASCII2!C313-ASCII2!C315-ASCII2!C317-ASCII2!C319-ASCII2!C321,5)</f>
        <v>0</v>
      </c>
    </row>
    <row r="70" spans="1:2">
      <c r="A70" s="141"/>
      <c r="B70" s="169"/>
    </row>
    <row r="71" spans="1:2" ht="51">
      <c r="A71" s="141" t="s">
        <v>406</v>
      </c>
      <c r="B71" s="169">
        <f>ROUND(ASCII2!B352-ASCII2!B324-ASCII2!B326-ASCII2!B328-ASCII2!B330-ASCII2!B332-ASCII2!B334-ASCII2!B336-ASCII2!B338-ASCII2!B340-ASCII2!B342-ASCII2!B344-ASCII2!B346-ASCII2!B348-ASCII2!B350,5)</f>
        <v>0</v>
      </c>
    </row>
    <row r="72" spans="1:2" ht="51">
      <c r="A72" s="141" t="s">
        <v>407</v>
      </c>
      <c r="B72" s="169">
        <f>ROUND(ASCII2!C352-ASCII2!C324-ASCII2!C326-ASCII2!C328-ASCII2!C330-ASCII2!C332-ASCII2!C334-ASCII2!C336-ASCII2!C338-ASCII2!C340-ASCII2!C342-ASCII2!C344-ASCII2!C346-ASCII2!C348-ASCII2!C350,5)</f>
        <v>0</v>
      </c>
    </row>
    <row r="73" spans="1:2" ht="51">
      <c r="A73" s="141" t="s">
        <v>408</v>
      </c>
      <c r="B73" s="169">
        <f>ROUND(ASCII2!B353-ASCII2!B325-ASCII2!B327-ASCII2!B329-ASCII2!B331-ASCII2!B333-ASCII2!B335-ASCII2!B337-ASCII2!B339-ASCII2!B341-ASCII2!B343-ASCII2!B345-ASCII2!B347-ASCII2!B349-ASCII2!B351,5)</f>
        <v>0</v>
      </c>
    </row>
    <row r="74" spans="1:2" ht="51">
      <c r="A74" s="141" t="s">
        <v>409</v>
      </c>
      <c r="B74" s="169">
        <f>ROUND(ASCII2!C353-ASCII2!C325-ASCII2!C327-ASCII2!C329-ASCII2!C331-ASCII2!C333-ASCII2!C335-ASCII2!C337-ASCII2!C339-ASCII2!C341-ASCII2!C343-ASCII2!C345-ASCII2!C347-ASCII2!C349-ASCII2!C351,5)</f>
        <v>0</v>
      </c>
    </row>
    <row r="75" spans="1:2">
      <c r="A75" s="141"/>
      <c r="B75" s="169"/>
    </row>
    <row r="76" spans="1:2" ht="38.25">
      <c r="A76" s="141" t="s">
        <v>372</v>
      </c>
      <c r="B76" s="169">
        <f>ROUND(ASCII2!B354-ASCII2!B232-ASCII2!B262-ASCII2!B292-ASCII2!B322-ASCII2!B352,5)</f>
        <v>0</v>
      </c>
    </row>
    <row r="77" spans="1:2" ht="38.25">
      <c r="A77" s="141" t="s">
        <v>373</v>
      </c>
      <c r="B77" s="169">
        <f>ROUND(ASCII2!C354-ASCII2!C232-ASCII2!C262-ASCII2!C292-ASCII2!C322-ASCII2!C352,5)</f>
        <v>0</v>
      </c>
    </row>
    <row r="78" spans="1:2" ht="38.25">
      <c r="A78" s="141" t="s">
        <v>376</v>
      </c>
      <c r="B78" s="169">
        <f>ROUND(ASCII2!B355-ASCII2!B233-ASCII2!B263-ASCII2!B293-ASCII2!B323-ASCII2!B353,5)</f>
        <v>0</v>
      </c>
    </row>
    <row r="79" spans="1:2" ht="38.25">
      <c r="A79" s="141" t="s">
        <v>377</v>
      </c>
      <c r="B79" s="169">
        <f>ROUND(ASCII2!C355-ASCII2!C233-ASCII2!C263-ASCII2!C293-ASCII2!C323-ASCII2!C353,5)</f>
        <v>0</v>
      </c>
    </row>
    <row r="80" spans="1:2">
      <c r="A80" s="142"/>
      <c r="B80" s="169"/>
    </row>
    <row r="81" spans="1:2" ht="13.5" thickBot="1">
      <c r="A81" s="144"/>
      <c r="B81" s="170"/>
    </row>
    <row r="82" spans="1:2" ht="18.75">
      <c r="A82" s="125" t="s">
        <v>216</v>
      </c>
      <c r="B82" s="169"/>
    </row>
    <row r="83" spans="1:2">
      <c r="A83" s="142"/>
      <c r="B83" s="169"/>
    </row>
    <row r="84" spans="1:2" ht="51">
      <c r="A84" s="141" t="s">
        <v>382</v>
      </c>
      <c r="B84" s="169">
        <f>ROUND(ASCII2!B413-ASCII2!B357-ASCII2!B359-ASCII2!B361-ASCII2!B363-ASCII2!B365-ASCII2!B367-ASCII2!B369-ASCII2!B371-ASCII2!B373-ASCII2!B375-ASCII2!B377-ASCII2!B379-ASCII2!B381-ASCII2!B383,5)</f>
        <v>0</v>
      </c>
    </row>
    <row r="85" spans="1:2" ht="51">
      <c r="A85" s="141" t="s">
        <v>383</v>
      </c>
      <c r="B85" s="169">
        <f>ROUND(ASCII2!C413-ASCII2!C357-ASCII2!C359-ASCII2!C361-ASCII2!C363-ASCII2!C365-ASCII2!C367-ASCII2!C369-ASCII2!C371-ASCII2!C373-ASCII2!C375-ASCII2!C377-ASCII2!C379-ASCII2!C381-ASCII2!C383,5)</f>
        <v>0</v>
      </c>
    </row>
    <row r="86" spans="1:2" ht="51">
      <c r="A86" s="141" t="s">
        <v>384</v>
      </c>
      <c r="B86" s="169">
        <f>ROUND(ASCII2!B414-ASCII2!B358-ASCII2!B360-ASCII2!B362-ASCII2!B364-ASCII2!B366-ASCII2!B368-ASCII2!B370-ASCII2!B372-ASCII2!B374-ASCII2!B376-ASCII2!B378-ASCII2!B380-ASCII2!B382-ASCII2!B384,5)</f>
        <v>0</v>
      </c>
    </row>
    <row r="87" spans="1:2" ht="51">
      <c r="A87" s="141" t="s">
        <v>385</v>
      </c>
      <c r="B87" s="169">
        <f>ROUND(ASCII2!C414-ASCII2!C358-ASCII2!C360-ASCII2!C362-ASCII2!C364-ASCII2!C366-ASCII2!C368-ASCII2!C370-ASCII2!C372-ASCII2!C374-ASCII2!C376-ASCII2!C378-ASCII2!C380-ASCII2!C382-ASCII2!C384,5)</f>
        <v>0</v>
      </c>
    </row>
    <row r="88" spans="1:2">
      <c r="A88" s="141"/>
      <c r="B88" s="169"/>
    </row>
    <row r="89" spans="1:2" ht="51">
      <c r="A89" s="141" t="s">
        <v>386</v>
      </c>
      <c r="B89" s="169">
        <f>ROUND(ASCII2!B415-ASCII2!B385-ASCII2!B387-ASCII2!B389-ASCII2!B391-ASCII2!B393-ASCII2!B395-ASCII2!B397-ASCII2!B399-ASCII2!B401-ASCII2!B403-ASCII2!B405-ASCII2!B407-ASCII2!B409-ASCII2!B411,5)</f>
        <v>0</v>
      </c>
    </row>
    <row r="90" spans="1:2" ht="51">
      <c r="A90" s="141" t="s">
        <v>387</v>
      </c>
      <c r="B90" s="169">
        <f>ROUND(ASCII2!C415-ASCII2!C385-ASCII2!C387-ASCII2!C389-ASCII2!C391-ASCII2!C393-ASCII2!C395-ASCII2!C397-ASCII2!C399-ASCII2!C401-ASCII2!C403-ASCII2!C405-ASCII2!C407-ASCII2!C409-ASCII2!C411,5)</f>
        <v>0</v>
      </c>
    </row>
    <row r="91" spans="1:2" ht="51">
      <c r="A91" s="141" t="s">
        <v>388</v>
      </c>
      <c r="B91" s="169">
        <f>ROUND(ASCII2!B416-ASCII2!B386-ASCII2!B388-ASCII2!B390-ASCII2!B392-ASCII2!B394-ASCII2!B396-ASCII2!B398-ASCII2!B400-ASCII2!B402-ASCII2!B404-ASCII2!B406-ASCII2!B408-ASCII2!B410-ASCII2!B412,5)</f>
        <v>0</v>
      </c>
    </row>
    <row r="92" spans="1:2" ht="51">
      <c r="A92" s="141" t="s">
        <v>389</v>
      </c>
      <c r="B92" s="169">
        <f>ROUND(ASCII2!C416-ASCII2!C386-ASCII2!C388-ASCII2!C390-ASCII2!C392-ASCII2!C394-ASCII2!C396-ASCII2!C398-ASCII2!C400-ASCII2!C402-ASCII2!C404-ASCII2!C406-ASCII2!C408-ASCII2!C410-ASCII2!C412,5)</f>
        <v>0</v>
      </c>
    </row>
    <row r="93" spans="1:2">
      <c r="A93" s="141"/>
      <c r="B93" s="169"/>
    </row>
    <row r="94" spans="1:2">
      <c r="A94" s="141" t="s">
        <v>422</v>
      </c>
      <c r="B94" s="169">
        <f>ROUND(ASCII2!B417-ASCII2!B413-ASCII2!B415,5)</f>
        <v>0</v>
      </c>
    </row>
    <row r="95" spans="1:2">
      <c r="A95" s="141" t="s">
        <v>423</v>
      </c>
      <c r="B95" s="169">
        <f>ROUND(ASCII2!C417-ASCII2!C413-ASCII2!C415,5)</f>
        <v>0</v>
      </c>
    </row>
    <row r="96" spans="1:2">
      <c r="A96" s="141" t="s">
        <v>335</v>
      </c>
      <c r="B96" s="169">
        <f>ROUND(ASCII2!B418-ASCII2!B414-ASCII2!B416,5)</f>
        <v>0</v>
      </c>
    </row>
    <row r="97" spans="1:2">
      <c r="A97" s="141" t="s">
        <v>336</v>
      </c>
      <c r="B97" s="169">
        <f>ROUND(ASCII2!C418-ASCII2!C414-ASCII2!C416,5)</f>
        <v>0</v>
      </c>
    </row>
    <row r="98" spans="1:2">
      <c r="A98" s="142"/>
      <c r="B98" s="169"/>
    </row>
    <row r="99" spans="1:2" ht="13.5" thickBot="1">
      <c r="A99" s="144"/>
      <c r="B99" s="170"/>
    </row>
    <row r="100" spans="1:2" ht="18.75">
      <c r="A100" s="125" t="s">
        <v>217</v>
      </c>
      <c r="B100" s="169"/>
    </row>
    <row r="101" spans="1:2">
      <c r="A101" s="142"/>
      <c r="B101" s="169"/>
    </row>
    <row r="102" spans="1:2" ht="25.5">
      <c r="A102" s="141" t="s">
        <v>424</v>
      </c>
      <c r="B102" s="169">
        <f>ROUND(ASCII2!B433-ASCII2!B420-ASCII2!B423-ASCII2!B426-ASCII2!B429,5)</f>
        <v>0</v>
      </c>
    </row>
    <row r="103" spans="1:2" ht="25.5">
      <c r="A103" s="141" t="s">
        <v>425</v>
      </c>
      <c r="B103" s="169">
        <f>ROUND(ASCII2!C433-ASCII2!C420-ASCII2!C423-ASCII2!C426-ASCII2!C429,5)</f>
        <v>0</v>
      </c>
    </row>
    <row r="104" spans="1:2">
      <c r="A104" s="141"/>
      <c r="B104" s="169"/>
    </row>
    <row r="105" spans="1:2" ht="25.5">
      <c r="A105" s="141" t="s">
        <v>426</v>
      </c>
      <c r="B105" s="169">
        <f>ROUND(ASCII2!B434-ASCII2!B421-ASCII2!B424-ASCII2!B427-ASCII2!B430,5)</f>
        <v>0</v>
      </c>
    </row>
    <row r="106" spans="1:2" ht="25.5">
      <c r="A106" s="141" t="s">
        <v>427</v>
      </c>
      <c r="B106" s="169">
        <f>ROUND(ASCII2!C434-ASCII2!C421-ASCII2!C424-ASCII2!C427-ASCII2!C430,5)</f>
        <v>0</v>
      </c>
    </row>
    <row r="107" spans="1:2">
      <c r="A107" s="141"/>
      <c r="B107" s="169"/>
    </row>
    <row r="108" spans="1:2" ht="25.5">
      <c r="A108" s="141" t="s">
        <v>428</v>
      </c>
      <c r="B108" s="169">
        <f>ROUND(ASCII2!B435-ASCII2!B422-ASCII2!B425-ASCII2!B428-ASCII2!B431,5)</f>
        <v>0</v>
      </c>
    </row>
    <row r="109" spans="1:2" ht="25.5">
      <c r="A109" s="141" t="s">
        <v>429</v>
      </c>
      <c r="B109" s="169">
        <f>ROUND(ASCII2!C435-ASCII2!C422-ASCII2!C425-ASCII2!C428-ASCII2!C431,5)</f>
        <v>0</v>
      </c>
    </row>
    <row r="110" spans="1:2">
      <c r="A110" s="142"/>
      <c r="B110" s="169"/>
    </row>
    <row r="111" spans="1:2" ht="13.5" thickBot="1">
      <c r="A111" s="144"/>
      <c r="B111" s="170"/>
    </row>
    <row r="112" spans="1:2" ht="18.75">
      <c r="A112" s="125" t="s">
        <v>218</v>
      </c>
      <c r="B112" s="169"/>
    </row>
    <row r="113" spans="1:2">
      <c r="A113" s="142"/>
      <c r="B113" s="169"/>
    </row>
    <row r="114" spans="1:2" ht="51">
      <c r="A114" s="141" t="s">
        <v>390</v>
      </c>
      <c r="B114" s="169">
        <f>ROUND(ASCII2!B504-ASCII2!B451-ASCII2!B455-ASCII2!B459-ASCII2!B463-ASCII2!B467-ASCII2!B471-ASCII2!B475-ASCII2!B479-ASCII2!B483-ASCII2!B487-ASCII2!B491-ASCII2!B495-ASCII2!B499-ASCII2!B503,5)</f>
        <v>0</v>
      </c>
    </row>
    <row r="115" spans="1:2" ht="51">
      <c r="A115" s="141" t="s">
        <v>391</v>
      </c>
      <c r="B115" s="169">
        <f>ROUND(ASCII2!C504-ASCII2!C451-ASCII2!C455-ASCII2!C459-ASCII2!C463-ASCII2!C467-ASCII2!C471-ASCII2!C475-ASCII2!C479-ASCII2!C483-ASCII2!C487-ASCII2!C491-ASCII2!C495-ASCII2!C499-ASCII2!C503,5)</f>
        <v>0</v>
      </c>
    </row>
    <row r="116" spans="1:2">
      <c r="A116" s="141"/>
      <c r="B116" s="169"/>
    </row>
    <row r="117" spans="1:2" ht="51">
      <c r="A117" s="141" t="s">
        <v>410</v>
      </c>
      <c r="B117" s="169">
        <f>ROUND(ASCII2!B561-ASCII2!B508-ASCII2!B512-ASCII2!B516-ASCII2!B520-ASCII2!B524-ASCII2!B528-ASCII2!B532-ASCII2!B536-ASCII2!B540-ASCII2!B544-ASCII2!B548-ASCII2!B552-ASCII2!B556-ASCII2!B560,5)</f>
        <v>0</v>
      </c>
    </row>
    <row r="118" spans="1:2" ht="51">
      <c r="A118" s="141" t="s">
        <v>411</v>
      </c>
      <c r="B118" s="169">
        <f>ROUND(ASCII2!C561-ASCII2!C508-ASCII2!C512-ASCII2!C516-ASCII2!C520-ASCII2!C524-ASCII2!C528-ASCII2!C532-ASCII2!C536-ASCII2!C540-ASCII2!C544-ASCII2!C548-ASCII2!C552-ASCII2!C556-ASCII2!C560,5)</f>
        <v>0</v>
      </c>
    </row>
    <row r="119" spans="1:2">
      <c r="A119" s="141"/>
      <c r="B119" s="169"/>
    </row>
    <row r="120" spans="1:2" ht="51">
      <c r="A120" s="141" t="s">
        <v>412</v>
      </c>
      <c r="B120" s="169">
        <f>ROUND(ASCII2!B618-ASCII2!B565-ASCII2!B569-ASCII2!B573-ASCII2!B577-ASCII2!B581-ASCII2!B585-ASCII2!B589-ASCII2!B593-ASCII2!B597-ASCII2!B601-ASCII2!B605-ASCII2!B609-ASCII2!B613-ASCII2!B617,5)</f>
        <v>0</v>
      </c>
    </row>
    <row r="121" spans="1:2" ht="51">
      <c r="A121" s="141" t="s">
        <v>413</v>
      </c>
      <c r="B121" s="169">
        <f>ROUND(ASCII2!C618-ASCII2!C565-ASCII2!C569-ASCII2!C573-ASCII2!C577-ASCII2!C581-ASCII2!C585-ASCII2!C589-ASCII2!C593-ASCII2!C597-ASCII2!C601-ASCII2!C605-ASCII2!C609-ASCII2!C613-ASCII2!C617,5)</f>
        <v>0</v>
      </c>
    </row>
    <row r="122" spans="1:2">
      <c r="A122" s="141"/>
      <c r="B122" s="169"/>
    </row>
    <row r="123" spans="1:2" ht="51">
      <c r="A123" s="141" t="s">
        <v>414</v>
      </c>
      <c r="B123" s="169">
        <f>ROUND(ASCII2!B675-ASCII2!B622-ASCII2!B626-ASCII2!B630-ASCII2!B634-ASCII2!B638-ASCII2!B642-ASCII2!B646-ASCII2!B650-ASCII2!B654-ASCII2!B658-ASCII2!B662-ASCII2!B666-ASCII2!B670-ASCII2!B674,5)</f>
        <v>0</v>
      </c>
    </row>
    <row r="124" spans="1:2" ht="51">
      <c r="A124" s="141" t="s">
        <v>415</v>
      </c>
      <c r="B124" s="169">
        <f>ROUND(ASCII2!C675-ASCII2!C622-ASCII2!C626-ASCII2!C630-ASCII2!C634-ASCII2!C638-ASCII2!C642-ASCII2!C646-ASCII2!C650-ASCII2!C654-ASCII2!C658-ASCII2!C662-ASCII2!C666-ASCII2!C670-ASCII2!C674,5)</f>
        <v>0</v>
      </c>
    </row>
    <row r="125" spans="1:2">
      <c r="A125" s="141"/>
      <c r="B125" s="169"/>
    </row>
    <row r="126" spans="1:2" ht="51">
      <c r="A126" s="141" t="s">
        <v>416</v>
      </c>
      <c r="B126" s="169">
        <f>ROUND(ASCII2!B732-ASCII2!B679-ASCII2!B683-ASCII2!B687-ASCII2!B691-ASCII2!B695-ASCII2!B699-ASCII2!B703-ASCII2!B707-ASCII2!B711-ASCII2!B715-ASCII2!B719-ASCII2!B723-ASCII2!B727-ASCII2!B731,5)</f>
        <v>0</v>
      </c>
    </row>
    <row r="127" spans="1:2" ht="51">
      <c r="A127" s="141" t="s">
        <v>417</v>
      </c>
      <c r="B127" s="169">
        <f>ROUND(ASCII2!C732-ASCII2!C679-ASCII2!C683-ASCII2!C687-ASCII2!C691-ASCII2!C695-ASCII2!C699-ASCII2!C703-ASCII2!C707-ASCII2!C711-ASCII2!C715-ASCII2!C719-ASCII2!C723-ASCII2!C727-ASCII2!C731,5)</f>
        <v>0</v>
      </c>
    </row>
    <row r="128" spans="1:2">
      <c r="A128" s="141"/>
      <c r="B128" s="169"/>
    </row>
    <row r="129" spans="1:26" s="143" customFormat="1" ht="38.25">
      <c r="A129" s="141" t="s">
        <v>374</v>
      </c>
      <c r="B129" s="169">
        <f>ROUND(ASCII2!B736-ASCII2!B733-ASCII2!B734-ASCII2!B735,5)</f>
        <v>0</v>
      </c>
      <c r="C129" s="43"/>
      <c r="Z129" s="43"/>
    </row>
    <row r="130" spans="1:26" s="143" customFormat="1" ht="38.25">
      <c r="A130" s="141" t="s">
        <v>375</v>
      </c>
      <c r="B130" s="169">
        <f>ROUND(ASCII2!C736-ASCII2!C733-ASCII2!C734-ASCII2!C735,5)</f>
        <v>0</v>
      </c>
      <c r="C130" s="43"/>
      <c r="Z130" s="43"/>
    </row>
    <row r="131" spans="1:26">
      <c r="A131" s="142"/>
      <c r="B131" s="169"/>
    </row>
    <row r="132" spans="1:26" ht="13.5" thickBot="1">
      <c r="A132" s="144"/>
      <c r="B132" s="170"/>
    </row>
    <row r="133" spans="1:26" ht="18.75">
      <c r="A133" s="125" t="s">
        <v>219</v>
      </c>
      <c r="B133" s="169"/>
    </row>
    <row r="134" spans="1:26">
      <c r="A134" s="142"/>
      <c r="B134" s="169"/>
    </row>
    <row r="135" spans="1:26" ht="51">
      <c r="A135" s="141" t="s">
        <v>380</v>
      </c>
      <c r="B135" s="169">
        <f>ROUND(ASCII2!B794-ASCII2!B741-ASCII2!B745-ASCII2!B749-ASCII2!B753-ASCII2!B757-ASCII2!B761-ASCII2!B765-ASCII2!B769-ASCII2!B773-ASCII2!B777-ASCII2!B781-ASCII2!B785-ASCII2!B789-ASCII2!B793,5)</f>
        <v>0</v>
      </c>
    </row>
    <row r="136" spans="1:26" ht="51">
      <c r="A136" s="141" t="s">
        <v>381</v>
      </c>
      <c r="B136" s="169">
        <f>ROUND(ASCII2!C794-ASCII2!C741-ASCII2!C745-ASCII2!C749-ASCII2!C753-ASCII2!C757-ASCII2!C761-ASCII2!C765-ASCII2!C769-ASCII2!C773-ASCII2!C777-ASCII2!C781-ASCII2!C785-ASCII2!C789-ASCII2!C793,5)</f>
        <v>0</v>
      </c>
    </row>
    <row r="137" spans="1:26">
      <c r="A137" s="142"/>
      <c r="B137" s="169"/>
    </row>
    <row r="138" spans="1:26" ht="63.75">
      <c r="A138" s="141" t="s">
        <v>418</v>
      </c>
      <c r="B138" s="169">
        <f>ROUND(ASCII2!B851-ASCII2!B798-ASCII2!B802-ASCII2!B806-ASCII2!B810-ASCII2!B814-ASCII2!B818-ASCII2!B822-ASCII2!B826-ASCII2!B830-ASCII2!B834-ASCII2!B838-ASCII2!B842-ASCII2!B846-ASCII2!B850,5)</f>
        <v>0</v>
      </c>
    </row>
    <row r="139" spans="1:26" ht="63.75">
      <c r="A139" s="141" t="s">
        <v>419</v>
      </c>
      <c r="B139" s="169">
        <f>ROUND(ASCII2!C851-ASCII2!C798-ASCII2!C802-ASCII2!C806-ASCII2!C810-ASCII2!C814-ASCII2!C818-ASCII2!C822-ASCII2!C826-ASCII2!C830-ASCII2!C834-ASCII2!C838-ASCII2!C842-ASCII2!C846-ASCII2!C850,5)</f>
        <v>0</v>
      </c>
    </row>
    <row r="140" spans="1:26">
      <c r="A140" s="142"/>
      <c r="B140" s="169"/>
    </row>
    <row r="141" spans="1:26" ht="51">
      <c r="A141" s="141" t="s">
        <v>420</v>
      </c>
      <c r="B141" s="169">
        <f>ROUND(ASCII2!B908-ASCII2!B855-ASCII2!B859-ASCII2!B863-ASCII2!B867-ASCII2!B871-ASCII2!B875-ASCII2!B879-ASCII2!B883-ASCII2!B887-ASCII2!B891-ASCII2!B895-ASCII2!B899-ASCII2!B903-ASCII2!B907,5)</f>
        <v>0</v>
      </c>
    </row>
    <row r="142" spans="1:26" ht="51">
      <c r="A142" s="141" t="s">
        <v>421</v>
      </c>
      <c r="B142" s="169">
        <f>ROUND(ASCII2!C908-ASCII2!C855-ASCII2!C859-ASCII2!C863-ASCII2!C867-ASCII2!C871-ASCII2!C875-ASCII2!C879-ASCII2!C883-ASCII2!C887-ASCII2!C891-ASCII2!C895-ASCII2!C899-ASCII2!C903-ASCII2!C907,5)</f>
        <v>0</v>
      </c>
    </row>
    <row r="143" spans="1:26">
      <c r="A143" s="142"/>
      <c r="B143" s="169"/>
    </row>
    <row r="144" spans="1:26" ht="51">
      <c r="A144" s="141" t="s">
        <v>404</v>
      </c>
      <c r="B144" s="169">
        <f>ROUND(ASCII2!B965-ASCII2!B912-ASCII2!B916-ASCII2!B920-ASCII2!B924-ASCII2!B928-ASCII2!B932-ASCII2!B936-ASCII2!B940-ASCII2!B944-ASCII2!B948-ASCII2!B952-ASCII2!B956-ASCII2!B960-ASCII2!B964,5)</f>
        <v>0</v>
      </c>
    </row>
    <row r="145" spans="1:26" ht="51">
      <c r="A145" s="141" t="s">
        <v>405</v>
      </c>
      <c r="B145" s="169">
        <f>ROUND(ASCII2!C965-ASCII2!C912-ASCII2!C916-ASCII2!C920-ASCII2!C924-ASCII2!C928-ASCII2!C932-ASCII2!C936-ASCII2!C940-ASCII2!C944-ASCII2!C948-ASCII2!C952-ASCII2!C956-ASCII2!C960-ASCII2!C964,5)</f>
        <v>0</v>
      </c>
    </row>
    <row r="146" spans="1:26">
      <c r="A146" s="142"/>
      <c r="B146" s="169"/>
    </row>
    <row r="147" spans="1:26" ht="51">
      <c r="A147" s="141" t="s">
        <v>408</v>
      </c>
      <c r="B147" s="169">
        <f>ROUND(ASCII2!B1022-ASCII2!B969-ASCII2!B973-ASCII2!B977-ASCII2!B981-ASCII2!B985-ASCII2!B989-ASCII2!B993-ASCII2!B997-ASCII2!B1001-ASCII2!B1005-ASCII2!B1009-ASCII2!B1013-ASCII2!B1017-ASCII2!B1021,5)</f>
        <v>0</v>
      </c>
    </row>
    <row r="148" spans="1:26" ht="51">
      <c r="A148" s="141" t="s">
        <v>409</v>
      </c>
      <c r="B148" s="169">
        <f>ROUND(ASCII2!C1022-ASCII2!C969-ASCII2!C973-ASCII2!C977-ASCII2!C981-ASCII2!C985-ASCII2!C989-ASCII2!C993-ASCII2!C997-ASCII2!C1001-ASCII2!C1005-ASCII2!C1009-ASCII2!C1013-ASCII2!C1017-ASCII2!C1021,5)</f>
        <v>0</v>
      </c>
    </row>
    <row r="149" spans="1:26">
      <c r="A149" s="142"/>
      <c r="B149" s="169"/>
    </row>
    <row r="150" spans="1:26" s="143" customFormat="1" ht="38.25">
      <c r="A150" s="141" t="s">
        <v>376</v>
      </c>
      <c r="B150" s="169">
        <f>ROUND(ASCII2!B1026-ASCII2!B1023-ASCII2!B1024-ASCII2!B1025,5)</f>
        <v>0</v>
      </c>
      <c r="Z150" s="43"/>
    </row>
    <row r="151" spans="1:26" s="143" customFormat="1" ht="38.25">
      <c r="A151" s="141" t="s">
        <v>377</v>
      </c>
      <c r="B151" s="169">
        <f>ROUND(ASCII2!C1026-ASCII2!C1023-ASCII2!C1024-ASCII2!C1025,5)</f>
        <v>0</v>
      </c>
      <c r="Z151" s="43"/>
    </row>
    <row r="152" spans="1:26">
      <c r="A152" s="142"/>
      <c r="B152" s="169"/>
    </row>
    <row r="153" spans="1:26" ht="13.5" thickBot="1">
      <c r="A153" s="144"/>
      <c r="B153" s="170"/>
    </row>
    <row r="154" spans="1:26" ht="18.75">
      <c r="A154" s="125" t="s">
        <v>220</v>
      </c>
      <c r="B154" s="169"/>
    </row>
    <row r="155" spans="1:26">
      <c r="A155" s="142"/>
      <c r="B155" s="169"/>
    </row>
    <row r="156" spans="1:26">
      <c r="A156" s="141" t="s">
        <v>337</v>
      </c>
      <c r="B156" s="169">
        <f>ROUND(ASCII2!B1031-ASCII2!B1028-ASCII2!B1029-ASCII2!B1030,5)</f>
        <v>0</v>
      </c>
    </row>
    <row r="157" spans="1:26">
      <c r="A157" s="141" t="s">
        <v>338</v>
      </c>
      <c r="B157" s="169">
        <f>ROUND(ASCII2!C1031-ASCII2!C1028-ASCII2!C1029-ASCII2!C1030,5)</f>
        <v>0</v>
      </c>
    </row>
    <row r="158" spans="1:26">
      <c r="A158" s="141"/>
      <c r="B158" s="169"/>
    </row>
    <row r="159" spans="1:26">
      <c r="A159" s="141" t="s">
        <v>339</v>
      </c>
      <c r="B159" s="169">
        <f>ROUND(ASCII2!B1035-ASCII2!B1032-ASCII2!B1033-ASCII2!B1034,5)</f>
        <v>0</v>
      </c>
    </row>
    <row r="160" spans="1:26">
      <c r="A160" s="141" t="s">
        <v>340</v>
      </c>
      <c r="B160" s="169">
        <f>ROUND(ASCII2!C1035-ASCII2!C1032-ASCII2!C1033-ASCII2!C1034,5)</f>
        <v>0</v>
      </c>
    </row>
    <row r="161" spans="1:2">
      <c r="A161" s="141"/>
      <c r="B161" s="169"/>
    </row>
    <row r="162" spans="1:2">
      <c r="A162" s="141" t="s">
        <v>325</v>
      </c>
      <c r="B162" s="169">
        <f>ROUND(ASCII2!B1039-ASCII2!B1036-ASCII2!B1037-ASCII2!B1038,5)</f>
        <v>0</v>
      </c>
    </row>
    <row r="163" spans="1:2">
      <c r="A163" s="141" t="s">
        <v>341</v>
      </c>
      <c r="B163" s="169">
        <f>ROUND(ASCII2!C1039-ASCII2!C1036-ASCII2!C1037-ASCII2!C1038,5)</f>
        <v>0</v>
      </c>
    </row>
    <row r="164" spans="1:2">
      <c r="A164" s="141"/>
      <c r="B164" s="169"/>
    </row>
    <row r="165" spans="1:2">
      <c r="A165" s="141" t="s">
        <v>326</v>
      </c>
      <c r="B165" s="169">
        <f>ROUND(ASCII2!B1043-ASCII2!B1040-ASCII2!B1041-ASCII2!B1042,5)</f>
        <v>0</v>
      </c>
    </row>
    <row r="166" spans="1:2">
      <c r="A166" s="141" t="s">
        <v>342</v>
      </c>
      <c r="B166" s="169">
        <f>ROUND(ASCII2!C1043-ASCII2!C1040-ASCII2!C1041-ASCII2!C1042,5)</f>
        <v>0</v>
      </c>
    </row>
    <row r="167" spans="1:2">
      <c r="A167" s="141"/>
      <c r="B167" s="169"/>
    </row>
    <row r="168" spans="1:2">
      <c r="A168" s="141" t="s">
        <v>327</v>
      </c>
      <c r="B168" s="169">
        <f>ROUND(ASCII2!B1047-ASCII2!B1044-ASCII2!B1045-ASCII2!B1046,5)</f>
        <v>0</v>
      </c>
    </row>
    <row r="169" spans="1:2">
      <c r="A169" s="141" t="s">
        <v>343</v>
      </c>
      <c r="B169" s="169">
        <f>ROUND(ASCII2!C1047-ASCII2!C1044-ASCII2!C1045-ASCII2!C1046,5)</f>
        <v>0</v>
      </c>
    </row>
    <row r="170" spans="1:2">
      <c r="A170" s="141"/>
      <c r="B170" s="169"/>
    </row>
    <row r="171" spans="1:2">
      <c r="A171" s="141" t="s">
        <v>328</v>
      </c>
      <c r="B171" s="171">
        <f>ROUND(ASCII2!B1051-ASCII2!B1048-ASCII2!B1049-ASCII2!B1050,5)</f>
        <v>0</v>
      </c>
    </row>
    <row r="172" spans="1:2">
      <c r="A172" s="141" t="s">
        <v>344</v>
      </c>
      <c r="B172" s="169">
        <f>ROUND(ASCII2!C1051-ASCII2!C1048-ASCII2!C1049-ASCII2!C1050,5)</f>
        <v>0</v>
      </c>
    </row>
    <row r="173" spans="1:2">
      <c r="A173" s="141"/>
      <c r="B173" s="169"/>
    </row>
    <row r="174" spans="1:2">
      <c r="A174" s="141" t="s">
        <v>346</v>
      </c>
      <c r="B174" s="169">
        <f>ROUND(ASCII2!B1055-ASCII2!B1052-ASCII2!B1053-ASCII2!B1054,5)</f>
        <v>0</v>
      </c>
    </row>
    <row r="175" spans="1:2">
      <c r="A175" s="141" t="s">
        <v>347</v>
      </c>
      <c r="B175" s="169">
        <f>ROUND(ASCII2!C1055-ASCII2!C1052-ASCII2!C1053-ASCII2!C1054,5)</f>
        <v>0</v>
      </c>
    </row>
    <row r="176" spans="1:2">
      <c r="A176" s="141"/>
      <c r="B176" s="169"/>
    </row>
    <row r="177" spans="1:2" ht="38.25">
      <c r="A177" s="141" t="s">
        <v>345</v>
      </c>
      <c r="B177" s="169">
        <f>ROUND(ASCII2!B1068-ASCII2!C1064-ASCII2!C1065-ASCII2!C1066,5)</f>
        <v>0</v>
      </c>
    </row>
    <row r="178" spans="1:2">
      <c r="A178" s="141"/>
      <c r="B178" s="139"/>
    </row>
    <row r="179" spans="1:2" ht="13.5" thickBot="1">
      <c r="A179" s="144"/>
      <c r="B179" s="145"/>
    </row>
    <row r="180" spans="1:2" ht="18.75">
      <c r="A180" s="125" t="s">
        <v>222</v>
      </c>
      <c r="B180" s="139"/>
    </row>
    <row r="181" spans="1:2">
      <c r="A181" s="142"/>
      <c r="B181" s="139"/>
    </row>
    <row r="182" spans="1:2">
      <c r="A182" s="141" t="s">
        <v>224</v>
      </c>
      <c r="B182" s="139" t="str">
        <f>IF(ASCII2!B1071&lt;ASCII2!B1070,"Error","Correct")</f>
        <v>Correct</v>
      </c>
    </row>
    <row r="183" spans="1:2">
      <c r="A183" s="141" t="s">
        <v>223</v>
      </c>
      <c r="B183" s="139" t="str">
        <f>IF(ASCII2!B1073&lt;ASCII2!B1072,"Error","Correct")</f>
        <v>Correct</v>
      </c>
    </row>
    <row r="184" spans="1:2">
      <c r="A184" s="141" t="s">
        <v>268</v>
      </c>
      <c r="B184" s="139" t="str">
        <f>IF(ASCII2!B1075&lt;ASCII2!B1074,"Error","Correct")</f>
        <v>Correct</v>
      </c>
    </row>
    <row r="185" spans="1:2">
      <c r="A185" s="141" t="s">
        <v>223</v>
      </c>
      <c r="B185" s="139" t="str">
        <f>IF(ASCII2!B1077&lt;ASCII2!B1076,"Error","Correct")</f>
        <v>Correct</v>
      </c>
    </row>
    <row r="186" spans="1:2" ht="25.5">
      <c r="A186" s="141" t="s">
        <v>225</v>
      </c>
      <c r="B186" s="139" t="str">
        <f>IF(ASCII2!B1079&lt;ASCII2!B1078,"Error","Correct")</f>
        <v>Correct</v>
      </c>
    </row>
    <row r="187" spans="1:2">
      <c r="A187" s="141" t="s">
        <v>223</v>
      </c>
      <c r="B187" s="139" t="str">
        <f>IF(ASCII2!B1081&lt;ASCII2!B1080,"Error","Correct")</f>
        <v>Correct</v>
      </c>
    </row>
    <row r="188" spans="1:2">
      <c r="A188" s="141"/>
      <c r="B188" s="139"/>
    </row>
    <row r="189" spans="1:2" ht="25.5">
      <c r="A189" s="141" t="s">
        <v>226</v>
      </c>
      <c r="B189" s="139" t="str">
        <f>IF(ASCII2!B1083&lt;ASCII2!B1082,"Error","Correct")</f>
        <v>Correct</v>
      </c>
    </row>
    <row r="190" spans="1:2" ht="25.5">
      <c r="A190" s="141" t="s">
        <v>227</v>
      </c>
      <c r="B190" s="139" t="str">
        <f>IF(ASCII2!B1085&lt;ASCII2!B1084,"Error","Correct")</f>
        <v>Correct</v>
      </c>
    </row>
    <row r="191" spans="1:2" ht="25.5">
      <c r="A191" s="141" t="s">
        <v>269</v>
      </c>
      <c r="B191" s="139" t="str">
        <f>IF(ASCII2!B1087&lt;ASCII2!B1086,"Error","Correct")</f>
        <v>Correct</v>
      </c>
    </row>
    <row r="192" spans="1:2" ht="25.5">
      <c r="A192" s="141" t="s">
        <v>227</v>
      </c>
      <c r="B192" s="139" t="str">
        <f>IF(ASCII2!B1089&lt;ASCII2!B1088,"Error","Correct")</f>
        <v>Correct</v>
      </c>
    </row>
    <row r="193" spans="1:2" ht="25.5">
      <c r="A193" s="141" t="s">
        <v>228</v>
      </c>
      <c r="B193" s="139" t="str">
        <f>IF(ASCII2!B1091&lt;ASCII2!B1090,"Error","Correct")</f>
        <v>Correct</v>
      </c>
    </row>
    <row r="194" spans="1:2" ht="25.5">
      <c r="A194" s="141" t="s">
        <v>227</v>
      </c>
      <c r="B194" s="139" t="str">
        <f>IF(ASCII2!B1093&lt;ASCII2!B1092,"Error","Correct")</f>
        <v>Correct</v>
      </c>
    </row>
    <row r="195" spans="1:2">
      <c r="A195" s="141"/>
      <c r="B195" s="139"/>
    </row>
    <row r="196" spans="1:2" ht="25.5">
      <c r="A196" s="141" t="s">
        <v>229</v>
      </c>
      <c r="B196" s="139" t="str">
        <f>IF(ASCII2!B1095&lt;ASCII2!B1094,"Error","Correct")</f>
        <v>Correct</v>
      </c>
    </row>
    <row r="197" spans="1:2">
      <c r="A197" s="141" t="s">
        <v>230</v>
      </c>
      <c r="B197" s="139" t="str">
        <f>IF(ASCII2!B1097&lt;ASCII2!B1096,"Error","Correct")</f>
        <v>Correct</v>
      </c>
    </row>
    <row r="198" spans="1:2" ht="25.5">
      <c r="A198" s="141" t="s">
        <v>270</v>
      </c>
      <c r="B198" s="139" t="str">
        <f>IF(ASCII2!B1099&lt;ASCII2!B1098,"Error","Correct")</f>
        <v>Correct</v>
      </c>
    </row>
    <row r="199" spans="1:2">
      <c r="A199" s="141" t="s">
        <v>230</v>
      </c>
      <c r="B199" s="139" t="str">
        <f>IF(ASCII2!B1101&lt;ASCII2!B1100,"Error","Correct")</f>
        <v>Correct</v>
      </c>
    </row>
    <row r="200" spans="1:2" ht="25.5">
      <c r="A200" s="141" t="s">
        <v>231</v>
      </c>
      <c r="B200" s="139" t="str">
        <f>IF(ASCII2!B1103&lt;ASCII2!B1102,"Error","Correct")</f>
        <v>Correct</v>
      </c>
    </row>
    <row r="201" spans="1:2">
      <c r="A201" s="141" t="s">
        <v>230</v>
      </c>
      <c r="B201" s="139" t="str">
        <f>IF(ASCII2!B1105&lt;ASCII2!B1104,"Error","Correct")</f>
        <v>Correct</v>
      </c>
    </row>
    <row r="202" spans="1:2">
      <c r="A202" s="141"/>
      <c r="B202" s="139"/>
    </row>
    <row r="203" spans="1:2" ht="25.5">
      <c r="A203" s="141" t="s">
        <v>232</v>
      </c>
      <c r="B203" s="139" t="str">
        <f>IF(ASCII2!B1107&lt;ASCII2!B1106,"Error","Correct")</f>
        <v>Correct</v>
      </c>
    </row>
    <row r="204" spans="1:2" ht="25.5">
      <c r="A204" s="141" t="s">
        <v>233</v>
      </c>
      <c r="B204" s="139" t="str">
        <f>IF(ASCII2!B1109&lt;ASCII2!B1108,"Error","Correct")</f>
        <v>Correct</v>
      </c>
    </row>
    <row r="205" spans="1:2" ht="25.5">
      <c r="A205" s="141" t="s">
        <v>271</v>
      </c>
      <c r="B205" s="139" t="str">
        <f>IF(ASCII2!B1111&lt;ASCII2!B1110,"Error","Correct")</f>
        <v>Correct</v>
      </c>
    </row>
    <row r="206" spans="1:2" ht="25.5">
      <c r="A206" s="141" t="s">
        <v>233</v>
      </c>
      <c r="B206" s="139" t="str">
        <f>IF(ASCII2!B1113&lt;ASCII2!B1112,"Error","Correct")</f>
        <v>Correct</v>
      </c>
    </row>
    <row r="207" spans="1:2" ht="25.5">
      <c r="A207" s="141" t="s">
        <v>234</v>
      </c>
      <c r="B207" s="139" t="str">
        <f>IF(ASCII2!B1115&lt;ASCII2!B1114,"Error","Correct")</f>
        <v>Correct</v>
      </c>
    </row>
    <row r="208" spans="1:2" ht="25.5">
      <c r="A208" s="141" t="s">
        <v>233</v>
      </c>
      <c r="B208" s="139" t="str">
        <f>IF(ASCII2!B1117&lt;ASCII2!B1116,"Error","Correct")</f>
        <v>Correct</v>
      </c>
    </row>
    <row r="209" spans="1:2">
      <c r="A209" s="141"/>
      <c r="B209" s="139"/>
    </row>
    <row r="210" spans="1:2">
      <c r="A210" s="141" t="s">
        <v>235</v>
      </c>
      <c r="B210" s="139" t="str">
        <f>IF(ASCII2!B1119&lt;ASCII2!B1118,"Error","Correct")</f>
        <v>Correct</v>
      </c>
    </row>
    <row r="211" spans="1:2">
      <c r="A211" s="141" t="s">
        <v>236</v>
      </c>
      <c r="B211" s="139" t="str">
        <f>IF(ASCII2!B1121&lt;ASCII2!B1120,"Error","Correct")</f>
        <v>Correct</v>
      </c>
    </row>
    <row r="212" spans="1:2">
      <c r="A212" s="141" t="s">
        <v>272</v>
      </c>
      <c r="B212" s="139" t="str">
        <f>IF(ASCII2!B1123&lt;ASCII2!B1122,"Error","Correct")</f>
        <v>Correct</v>
      </c>
    </row>
    <row r="213" spans="1:2">
      <c r="A213" s="141" t="s">
        <v>236</v>
      </c>
      <c r="B213" s="139" t="str">
        <f>IF(ASCII2!B1125&lt;ASCII2!B1124,"Error","Correct")</f>
        <v>Correct</v>
      </c>
    </row>
    <row r="214" spans="1:2">
      <c r="A214" s="141" t="s">
        <v>237</v>
      </c>
      <c r="B214" s="139" t="str">
        <f>IF(ASCII2!B1127&lt;ASCII2!B1126,"Error","Correct")</f>
        <v>Correct</v>
      </c>
    </row>
    <row r="215" spans="1:2">
      <c r="A215" s="141" t="s">
        <v>236</v>
      </c>
      <c r="B215" s="139" t="str">
        <f>IF(ASCII2!B1129&lt;ASCII2!B1128,"Error","Correct")</f>
        <v>Correct</v>
      </c>
    </row>
    <row r="216" spans="1:2">
      <c r="A216" s="141"/>
      <c r="B216" s="139"/>
    </row>
    <row r="217" spans="1:2">
      <c r="A217" s="141"/>
      <c r="B217" s="139"/>
    </row>
    <row r="218" spans="1:2">
      <c r="A218" s="141" t="s">
        <v>238</v>
      </c>
      <c r="B218" s="139" t="str">
        <f>IF(ASCII2!B1131&lt;ASCII2!B1130,"Error","Correct")</f>
        <v>Correct</v>
      </c>
    </row>
    <row r="219" spans="1:2">
      <c r="A219" s="141" t="s">
        <v>239</v>
      </c>
      <c r="B219" s="139" t="str">
        <f>IF(ASCII2!B1133&lt;ASCII2!B1132,"Error","Correct")</f>
        <v>Correct</v>
      </c>
    </row>
    <row r="220" spans="1:2">
      <c r="A220" s="141" t="s">
        <v>273</v>
      </c>
      <c r="B220" s="139" t="str">
        <f>IF(ASCII2!B1135&lt;ASCII2!B1134,"Error","Correct")</f>
        <v>Correct</v>
      </c>
    </row>
    <row r="221" spans="1:2">
      <c r="A221" s="141" t="s">
        <v>239</v>
      </c>
      <c r="B221" s="139" t="str">
        <f>IF(ASCII2!B1137&lt;ASCII2!B1136,"Error","Correct")</f>
        <v>Correct</v>
      </c>
    </row>
    <row r="222" spans="1:2" ht="25.5">
      <c r="A222" s="141" t="s">
        <v>240</v>
      </c>
      <c r="B222" s="139" t="str">
        <f>IF(ASCII2!B1139&lt;ASCII2!B1138,"Error","Correct")</f>
        <v>Correct</v>
      </c>
    </row>
    <row r="223" spans="1:2">
      <c r="A223" s="141" t="s">
        <v>239</v>
      </c>
      <c r="B223" s="139" t="str">
        <f>IF(ASCII2!B1141&lt;ASCII2!B1140,"Error","Correct")</f>
        <v>Correct</v>
      </c>
    </row>
    <row r="224" spans="1:2">
      <c r="A224" s="141"/>
      <c r="B224" s="139"/>
    </row>
    <row r="225" spans="1:2" ht="25.5">
      <c r="A225" s="141" t="s">
        <v>241</v>
      </c>
      <c r="B225" s="139" t="str">
        <f>IF(ASCII2!B1143&lt;ASCII2!B1142,"Error","Correct")</f>
        <v>Correct</v>
      </c>
    </row>
    <row r="226" spans="1:2" ht="25.5">
      <c r="A226" s="141" t="s">
        <v>242</v>
      </c>
      <c r="B226" s="139" t="str">
        <f>IF(ASCII2!B1145&lt;ASCII2!B1144,"Error","Correct")</f>
        <v>Correct</v>
      </c>
    </row>
    <row r="227" spans="1:2" ht="25.5">
      <c r="A227" s="141" t="s">
        <v>274</v>
      </c>
      <c r="B227" s="139" t="str">
        <f>IF(ASCII2!B1147&lt;ASCII2!B1146,"Error","Correct")</f>
        <v>Correct</v>
      </c>
    </row>
    <row r="228" spans="1:2" ht="25.5">
      <c r="A228" s="141" t="s">
        <v>242</v>
      </c>
      <c r="B228" s="139" t="str">
        <f>IF(ASCII2!B1149&lt;ASCII2!B1148,"Error","Correct")</f>
        <v>Correct</v>
      </c>
    </row>
    <row r="229" spans="1:2" ht="25.5">
      <c r="A229" s="141" t="s">
        <v>243</v>
      </c>
      <c r="B229" s="139" t="str">
        <f>IF(ASCII2!B1151&lt;ASCII2!B1150,"Error","Correct")</f>
        <v>Correct</v>
      </c>
    </row>
    <row r="230" spans="1:2" ht="25.5">
      <c r="A230" s="141" t="s">
        <v>242</v>
      </c>
      <c r="B230" s="139" t="str">
        <f>IF(ASCII2!B1153&lt;ASCII2!B1152,"Error","Correct")</f>
        <v>Correct</v>
      </c>
    </row>
    <row r="231" spans="1:2">
      <c r="A231" s="141"/>
      <c r="B231" s="139"/>
    </row>
    <row r="232" spans="1:2" ht="25.5">
      <c r="A232" s="141" t="s">
        <v>244</v>
      </c>
      <c r="B232" s="139" t="str">
        <f>IF(ASCII2!B1155&lt;ASCII2!B1154,"Error","Correct")</f>
        <v>Correct</v>
      </c>
    </row>
    <row r="233" spans="1:2" ht="25.5">
      <c r="A233" s="141" t="s">
        <v>245</v>
      </c>
      <c r="B233" s="139" t="str">
        <f>IF(ASCII2!B1157&lt;ASCII2!B1156,"Error","Correct")</f>
        <v>Correct</v>
      </c>
    </row>
    <row r="234" spans="1:2" ht="25.5">
      <c r="A234" s="141" t="s">
        <v>275</v>
      </c>
      <c r="B234" s="139" t="str">
        <f>IF(ASCII2!B1159&lt;ASCII2!B1158,"Error","Correct")</f>
        <v>Correct</v>
      </c>
    </row>
    <row r="235" spans="1:2" ht="25.5">
      <c r="A235" s="141" t="s">
        <v>245</v>
      </c>
      <c r="B235" s="139" t="str">
        <f>IF(ASCII2!B1161&lt;ASCII2!B1160,"Error","Correct")</f>
        <v>Correct</v>
      </c>
    </row>
    <row r="236" spans="1:2" ht="25.5">
      <c r="A236" s="141" t="s">
        <v>246</v>
      </c>
      <c r="B236" s="139" t="str">
        <f>IF(ASCII2!B1163&lt;ASCII2!B1162,"Error","Correct")</f>
        <v>Correct</v>
      </c>
    </row>
    <row r="237" spans="1:2" ht="25.5">
      <c r="A237" s="141" t="s">
        <v>245</v>
      </c>
      <c r="B237" s="139" t="str">
        <f>IF(ASCII2!B1165&lt;ASCII2!B1164,"Error","Correct")</f>
        <v>Correct</v>
      </c>
    </row>
    <row r="238" spans="1:2">
      <c r="A238" s="141"/>
      <c r="B238" s="139"/>
    </row>
    <row r="239" spans="1:2" ht="25.5">
      <c r="A239" s="141" t="s">
        <v>247</v>
      </c>
      <c r="B239" s="139" t="str">
        <f>IF(ASCII2!B1167&lt;ASCII2!B1166,"Error","Correct")</f>
        <v>Correct</v>
      </c>
    </row>
    <row r="240" spans="1:2" ht="25.5">
      <c r="A240" s="141" t="s">
        <v>248</v>
      </c>
      <c r="B240" s="139" t="str">
        <f>IF(ASCII2!B1169&lt;ASCII2!B1168,"Error","Correct")</f>
        <v>Correct</v>
      </c>
    </row>
    <row r="241" spans="1:2" ht="25.5">
      <c r="A241" s="141" t="s">
        <v>276</v>
      </c>
      <c r="B241" s="139" t="str">
        <f>IF(ASCII2!B1171&lt;ASCII2!B1170,"Error","Correct")</f>
        <v>Correct</v>
      </c>
    </row>
    <row r="242" spans="1:2" ht="25.5">
      <c r="A242" s="141" t="s">
        <v>248</v>
      </c>
      <c r="B242" s="139" t="str">
        <f>IF(ASCII2!B1173&lt;ASCII2!B1172,"Error","Correct")</f>
        <v>Correct</v>
      </c>
    </row>
    <row r="243" spans="1:2" ht="25.5">
      <c r="A243" s="141" t="s">
        <v>249</v>
      </c>
      <c r="B243" s="139" t="str">
        <f>IF(ASCII2!B1175&lt;ASCII2!B1174,"Error","Correct")</f>
        <v>Correct</v>
      </c>
    </row>
    <row r="244" spans="1:2" ht="25.5">
      <c r="A244" s="141" t="s">
        <v>248</v>
      </c>
      <c r="B244" s="139" t="str">
        <f>IF(ASCII2!B1177&lt;ASCII2!B1176,"Error","Correct")</f>
        <v>Correct</v>
      </c>
    </row>
    <row r="245" spans="1:2">
      <c r="A245" s="141"/>
      <c r="B245" s="139"/>
    </row>
    <row r="246" spans="1:2">
      <c r="A246" s="141" t="s">
        <v>250</v>
      </c>
      <c r="B246" s="139" t="str">
        <f>IF(ASCII2!B1179&lt;ASCII2!B1178,"Error","Correct")</f>
        <v>Correct</v>
      </c>
    </row>
    <row r="247" spans="1:2">
      <c r="A247" s="141" t="s">
        <v>251</v>
      </c>
      <c r="B247" s="139" t="str">
        <f>IF(ASCII2!B1181&lt;ASCII2!B1180,"Error","Correct")</f>
        <v>Correct</v>
      </c>
    </row>
    <row r="248" spans="1:2">
      <c r="A248" s="141" t="s">
        <v>277</v>
      </c>
      <c r="B248" s="139" t="str">
        <f>IF(ASCII2!B1183&lt;ASCII2!B1182,"Error","Correct")</f>
        <v>Correct</v>
      </c>
    </row>
    <row r="249" spans="1:2">
      <c r="A249" s="141" t="s">
        <v>251</v>
      </c>
      <c r="B249" s="139" t="str">
        <f>IF(ASCII2!B1185&lt;ASCII2!B1184,"Error","Correct")</f>
        <v>Correct</v>
      </c>
    </row>
    <row r="250" spans="1:2" ht="25.5">
      <c r="A250" s="141" t="s">
        <v>252</v>
      </c>
      <c r="B250" s="139" t="str">
        <f>IF(ASCII2!B1187&lt;ASCII2!B1186,"Error","Correct")</f>
        <v>Correct</v>
      </c>
    </row>
    <row r="251" spans="1:2">
      <c r="A251" s="141" t="s">
        <v>251</v>
      </c>
      <c r="B251" s="139" t="str">
        <f>IF(ASCII2!B1189&lt;ASCII2!B1188,"Error","Correct")</f>
        <v>Correct</v>
      </c>
    </row>
    <row r="252" spans="1:2">
      <c r="A252" s="141"/>
      <c r="B252" s="139"/>
    </row>
    <row r="253" spans="1:2">
      <c r="A253" s="141"/>
      <c r="B253" s="139"/>
    </row>
    <row r="254" spans="1:2">
      <c r="A254" s="141" t="s">
        <v>253</v>
      </c>
      <c r="B254" s="139" t="str">
        <f>IF(ASCII2!B1191&lt;ASCII2!B1190,"Error","Correct")</f>
        <v>Correct</v>
      </c>
    </row>
    <row r="255" spans="1:2">
      <c r="A255" s="141" t="s">
        <v>254</v>
      </c>
      <c r="B255" s="139" t="str">
        <f>IF(ASCII2!B1193&lt;ASCII2!B1192,"Error","Correct")</f>
        <v>Correct</v>
      </c>
    </row>
    <row r="256" spans="1:2">
      <c r="A256" s="141" t="s">
        <v>278</v>
      </c>
      <c r="B256" s="139" t="str">
        <f>IF(ASCII2!B1195&lt;ASCII2!B1194,"Error","Correct")</f>
        <v>Correct</v>
      </c>
    </row>
    <row r="257" spans="1:2">
      <c r="A257" s="141" t="s">
        <v>254</v>
      </c>
      <c r="B257" s="139" t="str">
        <f>IF(ASCII2!B1197&lt;ASCII2!B1196,"Error","Correct")</f>
        <v>Correct</v>
      </c>
    </row>
    <row r="258" spans="1:2" ht="25.5">
      <c r="A258" s="141" t="s">
        <v>255</v>
      </c>
      <c r="B258" s="139" t="str">
        <f>IF(ASCII2!B1199&lt;ASCII2!B1198,"Error","Correct")</f>
        <v>Correct</v>
      </c>
    </row>
    <row r="259" spans="1:2">
      <c r="A259" s="141" t="s">
        <v>254</v>
      </c>
      <c r="B259" s="139" t="str">
        <f>IF(ASCII2!B1201&lt;ASCII2!B1200,"Error","Correct")</f>
        <v>Correct</v>
      </c>
    </row>
    <row r="260" spans="1:2">
      <c r="A260" s="141"/>
      <c r="B260" s="139"/>
    </row>
    <row r="261" spans="1:2" ht="25.5">
      <c r="A261" s="141" t="s">
        <v>256</v>
      </c>
      <c r="B261" s="139" t="str">
        <f>IF(ASCII2!B1203&lt;ASCII2!B1202,"Error","Correct")</f>
        <v>Correct</v>
      </c>
    </row>
    <row r="262" spans="1:2" ht="25.5">
      <c r="A262" s="141" t="s">
        <v>257</v>
      </c>
      <c r="B262" s="139" t="str">
        <f>IF(ASCII2!B1205&lt;ASCII2!B1204,"Error","Correct")</f>
        <v>Correct</v>
      </c>
    </row>
    <row r="263" spans="1:2" ht="25.5">
      <c r="A263" s="141" t="s">
        <v>279</v>
      </c>
      <c r="B263" s="139" t="str">
        <f>IF(ASCII2!B1207&lt;ASCII2!B1206,"Error","Correct")</f>
        <v>Correct</v>
      </c>
    </row>
    <row r="264" spans="1:2" ht="25.5">
      <c r="A264" s="141" t="s">
        <v>257</v>
      </c>
      <c r="B264" s="139" t="str">
        <f>IF(ASCII2!B1209&lt;ASCII2!B1208,"Error","Correct")</f>
        <v>Correct</v>
      </c>
    </row>
    <row r="265" spans="1:2" ht="25.5">
      <c r="A265" s="141" t="s">
        <v>258</v>
      </c>
      <c r="B265" s="139" t="str">
        <f>IF(ASCII2!B1211&lt;ASCII2!B1210,"Error","Correct")</f>
        <v>Correct</v>
      </c>
    </row>
    <row r="266" spans="1:2" ht="25.5">
      <c r="A266" s="141" t="s">
        <v>257</v>
      </c>
      <c r="B266" s="139" t="str">
        <f>IF(ASCII2!B1213&lt;ASCII2!B1212,"Error","Correct")</f>
        <v>Correct</v>
      </c>
    </row>
    <row r="267" spans="1:2">
      <c r="A267" s="141"/>
      <c r="B267" s="139"/>
    </row>
    <row r="268" spans="1:2" ht="25.5">
      <c r="A268" s="141" t="s">
        <v>259</v>
      </c>
      <c r="B268" s="139" t="str">
        <f>IF(ASCII2!B1215&lt;ASCII2!B1214,"Error","Correct")</f>
        <v>Correct</v>
      </c>
    </row>
    <row r="269" spans="1:2" ht="25.5">
      <c r="A269" s="141" t="s">
        <v>260</v>
      </c>
      <c r="B269" s="139" t="str">
        <f>IF(ASCII2!B1217&lt;ASCII2!B1216,"Error","Correct")</f>
        <v>Correct</v>
      </c>
    </row>
    <row r="270" spans="1:2" ht="25.5">
      <c r="A270" s="141" t="s">
        <v>280</v>
      </c>
      <c r="B270" s="139" t="str">
        <f>IF(ASCII2!B1219&lt;ASCII2!B1218,"Error","Correct")</f>
        <v>Correct</v>
      </c>
    </row>
    <row r="271" spans="1:2" ht="25.5">
      <c r="A271" s="141" t="s">
        <v>260</v>
      </c>
      <c r="B271" s="139" t="str">
        <f>IF(ASCII2!B1221&lt;ASCII2!B1220,"Error","Correct")</f>
        <v>Correct</v>
      </c>
    </row>
    <row r="272" spans="1:2" ht="25.5">
      <c r="A272" s="141" t="s">
        <v>261</v>
      </c>
      <c r="B272" s="139" t="str">
        <f>IF(ASCII2!B1223&lt;ASCII2!B1222,"Error","Correct")</f>
        <v>Correct</v>
      </c>
    </row>
    <row r="273" spans="1:2" ht="25.5">
      <c r="A273" s="141" t="s">
        <v>260</v>
      </c>
      <c r="B273" s="139" t="str">
        <f>IF(ASCII2!B1225&lt;ASCII2!B1224,"Error","Correct")</f>
        <v>Correct</v>
      </c>
    </row>
    <row r="274" spans="1:2">
      <c r="A274" s="141"/>
      <c r="B274" s="139"/>
    </row>
    <row r="275" spans="1:2" ht="25.5">
      <c r="A275" s="141" t="s">
        <v>262</v>
      </c>
      <c r="B275" s="139" t="str">
        <f>IF(ASCII2!B1227&lt;ASCII2!B1226,"Error","Correct")</f>
        <v>Correct</v>
      </c>
    </row>
    <row r="276" spans="1:2" ht="25.5">
      <c r="A276" s="141" t="s">
        <v>263</v>
      </c>
      <c r="B276" s="139" t="str">
        <f>IF(ASCII2!B1229&lt;ASCII2!B1228,"Error","Correct")</f>
        <v>Correct</v>
      </c>
    </row>
    <row r="277" spans="1:2" ht="25.5">
      <c r="A277" s="141" t="s">
        <v>281</v>
      </c>
      <c r="B277" s="139" t="str">
        <f>IF(ASCII2!B1231&lt;ASCII2!B1230,"Error","Correct")</f>
        <v>Correct</v>
      </c>
    </row>
    <row r="278" spans="1:2" ht="25.5">
      <c r="A278" s="141" t="s">
        <v>263</v>
      </c>
      <c r="B278" s="139" t="str">
        <f>IF(ASCII2!B1233&lt;ASCII2!B1232,"Error","Correct")</f>
        <v>Correct</v>
      </c>
    </row>
    <row r="279" spans="1:2" ht="25.5">
      <c r="A279" s="141" t="s">
        <v>264</v>
      </c>
      <c r="B279" s="139" t="str">
        <f>IF(ASCII2!B1235&lt;ASCII2!B1234,"Error","Correct")</f>
        <v>Correct</v>
      </c>
    </row>
    <row r="280" spans="1:2" ht="25.5">
      <c r="A280" s="141" t="s">
        <v>263</v>
      </c>
      <c r="B280" s="139" t="str">
        <f>IF(ASCII2!B1237&lt;ASCII2!B1236,"Error","Correct")</f>
        <v>Correct</v>
      </c>
    </row>
    <row r="281" spans="1:2">
      <c r="A281" s="141"/>
      <c r="B281" s="139"/>
    </row>
    <row r="282" spans="1:2">
      <c r="A282" s="141" t="s">
        <v>265</v>
      </c>
      <c r="B282" s="139" t="str">
        <f>IF(ASCII2!B1239&lt;ASCII2!B1238,"Error","Correct")</f>
        <v>Correct</v>
      </c>
    </row>
    <row r="283" spans="1:2">
      <c r="A283" s="141" t="s">
        <v>266</v>
      </c>
      <c r="B283" s="139" t="str">
        <f>IF(ASCII2!B1241&lt;ASCII2!B1240,"Error","Correct")</f>
        <v>Correct</v>
      </c>
    </row>
    <row r="284" spans="1:2">
      <c r="A284" s="141" t="s">
        <v>282</v>
      </c>
      <c r="B284" s="139" t="str">
        <f>IF(ASCII2!B1243&lt;ASCII2!B1242,"Error","Correct")</f>
        <v>Correct</v>
      </c>
    </row>
    <row r="285" spans="1:2">
      <c r="A285" s="141" t="s">
        <v>266</v>
      </c>
      <c r="B285" s="139" t="str">
        <f>IF(ASCII2!B1245&lt;ASCII2!B1244,"Error","Correct")</f>
        <v>Correct</v>
      </c>
    </row>
    <row r="286" spans="1:2" ht="25.5">
      <c r="A286" s="141" t="s">
        <v>267</v>
      </c>
      <c r="B286" s="139" t="str">
        <f>IF(ASCII2!B1247&lt;ASCII2!B1246,"Error","Correct")</f>
        <v>Correct</v>
      </c>
    </row>
    <row r="287" spans="1:2">
      <c r="A287" s="141" t="s">
        <v>266</v>
      </c>
      <c r="B287" s="139" t="str">
        <f>IF(ASCII2!B1249&lt;ASCII2!B1248,"Error","Correct")</f>
        <v>Correct</v>
      </c>
    </row>
    <row r="288" spans="1:2">
      <c r="A288" s="142"/>
      <c r="B288" s="139"/>
    </row>
    <row r="289" spans="1:2" ht="13.5" thickBot="1">
      <c r="A289" s="144"/>
      <c r="B289" s="145"/>
    </row>
    <row r="290" spans="1:2" ht="18.75">
      <c r="A290" s="125" t="s">
        <v>221</v>
      </c>
      <c r="B290" s="139"/>
    </row>
    <row r="291" spans="1:2">
      <c r="A291" s="142"/>
      <c r="B291" s="139"/>
    </row>
    <row r="292" spans="1:2" s="143" customFormat="1">
      <c r="A292" s="141" t="s">
        <v>430</v>
      </c>
      <c r="B292" s="171">
        <f>ROUND(ASCII2!B1253-ASCII2!B1251-ASCII2!B1252,5)</f>
        <v>0</v>
      </c>
    </row>
    <row r="293" spans="1:2" ht="13.5" thickBot="1">
      <c r="A293" s="144"/>
      <c r="B293" s="145"/>
    </row>
  </sheetData>
  <sheetProtection algorithmName="SHA-512" hashValue="rOtBM9eAg+ihSsiX2ShOyX9zjiT2ECw9FVMZ1nasV3vhzQYsoHLbSy7nwETgu5brcFBikIuilAJRnQT9ggjPIg==" saltValue="dfGte0o9ZPm2O974JpBc3A==" spinCount="100000" sheet="1" selectLockedCells="1"/>
  <customSheetViews>
    <customSheetView guid="{6BAB6937-F4A7-406E-B6D7-F3AB26E9CB76}" scale="80" hiddenColumns="1">
      <selection activeCell="B4" sqref="B4"/>
      <pageMargins left="0.7" right="0.7" top="0.75" bottom="0.75" header="0.3" footer="0.3"/>
      <pageSetup orientation="portrait" r:id="rId1"/>
    </customSheetView>
    <customSheetView guid="{6FD7F56A-E857-4CED-A5A1-7DEC8753A8FB}" scale="80" hiddenColumns="1" topLeftCell="A88">
      <selection activeCell="B47" sqref="B47"/>
      <pageMargins left="0.7" right="0.7" top="0.75" bottom="0.75" header="0.3" footer="0.3"/>
      <pageSetup orientation="portrait" r:id="rId2"/>
    </customSheetView>
    <customSheetView guid="{91D31259-BF8C-4449-A829-EAD5467CE226}" scale="80" hiddenColumns="1" topLeftCell="A150">
      <selection activeCell="B150" sqref="B150"/>
      <pageMargins left="0.7" right="0.7" top="0.75" bottom="0.75" header="0.3" footer="0.3"/>
      <pageSetup orientation="portrait" r:id="rId3"/>
    </customSheetView>
  </customSheetViews>
  <mergeCells count="2">
    <mergeCell ref="B2:B3"/>
    <mergeCell ref="C2:C3"/>
  </mergeCells>
  <conditionalFormatting sqref="B4">
    <cfRule type="expression" dxfId="15" priority="15">
      <formula>"Error"</formula>
    </cfRule>
    <cfRule type="cellIs" dxfId="14" priority="17" operator="notEqual">
      <formula>0</formula>
    </cfRule>
  </conditionalFormatting>
  <conditionalFormatting sqref="C4">
    <cfRule type="expression" dxfId="13" priority="13">
      <formula>"Error"</formula>
    </cfRule>
    <cfRule type="cellIs" dxfId="12" priority="14" operator="notEqual">
      <formula>0</formula>
    </cfRule>
  </conditionalFormatting>
  <conditionalFormatting sqref="B5:B118 B120:B121 B123:B124 B126:B179">
    <cfRule type="cellIs" dxfId="11" priority="11" operator="lessThan">
      <formula>-0.00001</formula>
    </cfRule>
    <cfRule type="cellIs" dxfId="10" priority="12" operator="greaterThan">
      <formula>0.00001</formula>
    </cfRule>
  </conditionalFormatting>
  <conditionalFormatting sqref="B292">
    <cfRule type="cellIs" dxfId="9" priority="9" operator="lessThan">
      <formula>-0.00001</formula>
    </cfRule>
    <cfRule type="cellIs" dxfId="8" priority="10" operator="greaterThan">
      <formula>0.00001</formula>
    </cfRule>
  </conditionalFormatting>
  <conditionalFormatting sqref="B119">
    <cfRule type="cellIs" dxfId="7" priority="7" operator="lessThan">
      <formula>-0.00001</formula>
    </cfRule>
    <cfRule type="cellIs" dxfId="6" priority="8" operator="greaterThan">
      <formula>0.00001</formula>
    </cfRule>
  </conditionalFormatting>
  <conditionalFormatting sqref="B122">
    <cfRule type="cellIs" dxfId="5" priority="5" operator="lessThan">
      <formula>-0.00001</formula>
    </cfRule>
    <cfRule type="cellIs" dxfId="4" priority="6" operator="greaterThan">
      <formula>0.00001</formula>
    </cfRule>
  </conditionalFormatting>
  <conditionalFormatting sqref="B125">
    <cfRule type="cellIs" dxfId="3" priority="3" operator="lessThan">
      <formula>-0.00001</formula>
    </cfRule>
    <cfRule type="cellIs" dxfId="2" priority="4" operator="greaterThan">
      <formula>0.00001</formula>
    </cfRule>
  </conditionalFormatting>
  <conditionalFormatting sqref="C1">
    <cfRule type="expression" dxfId="1" priority="1">
      <formula>"Error"</formula>
    </cfRule>
    <cfRule type="cellIs" dxfId="0" priority="2" operator="notEqual">
      <formula>0</formula>
    </cfRule>
  </conditionalFormatting>
  <pageMargins left="0.7" right="0.7" top="0.75" bottom="0.75" header="0.3" footer="0.3"/>
  <pageSetup scale="54" orientation="portrait" r:id="rId4"/>
  <rowBreaks count="3" manualBreakCount="3">
    <brk id="48" max="16383" man="1"/>
    <brk id="111" max="16383" man="1"/>
    <brk id="225" max="2" man="1"/>
  </rowBreaks>
  <drawing r:id="rId5"/>
  <legacyDrawing r:id="rId6"/>
  <controls>
    <mc:AlternateContent xmlns:mc="http://schemas.openxmlformats.org/markup-compatibility/2006">
      <mc:Choice Requires="x14">
        <control shapeId="2049" r:id="rId7" name="CommandButton1">
          <controlPr defaultSize="0" autoLine="0" r:id="rId8">
            <anchor moveWithCells="1">
              <from>
                <xdr:col>2</xdr:col>
                <xdr:colOff>361950</xdr:colOff>
                <xdr:row>4</xdr:row>
                <xdr:rowOff>104775</xdr:rowOff>
              </from>
              <to>
                <xdr:col>2</xdr:col>
                <xdr:colOff>1847850</xdr:colOff>
                <xdr:row>6</xdr:row>
                <xdr:rowOff>400050</xdr:rowOff>
              </to>
            </anchor>
          </controlPr>
        </control>
      </mc:Choice>
      <mc:Fallback>
        <control shapeId="2049" r:id="rId7" name="CommandButton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1230"/>
  <sheetViews>
    <sheetView workbookViewId="0">
      <selection activeCell="G25" sqref="G25"/>
    </sheetView>
  </sheetViews>
  <sheetFormatPr defaultColWidth="9.140625" defaultRowHeight="12.75"/>
  <cols>
    <col min="1" max="1" width="46" style="146" bestFit="1" customWidth="1"/>
    <col min="2" max="2" width="11.42578125" style="148" bestFit="1" customWidth="1"/>
    <col min="3" max="3" width="24.140625" style="149" bestFit="1" customWidth="1"/>
    <col min="4" max="16384" width="9.140625" style="43"/>
  </cols>
  <sheetData>
    <row r="1" spans="1:4">
      <c r="A1" s="146" t="s">
        <v>157</v>
      </c>
      <c r="B1" s="62" t="s">
        <v>117</v>
      </c>
      <c r="C1" s="62" t="e">
        <f>VLOOKUP('COVER PAGE'!C7,Controls!$B$4:$C$28,2,FALSE)</f>
        <v>#N/A</v>
      </c>
      <c r="D1" s="62" t="s">
        <v>158</v>
      </c>
    </row>
    <row r="2" spans="1:4">
      <c r="A2" s="147">
        <f>VLOOKUP('COVER PAGE'!F9,Controls!$H$4:$I$147,2,FALSE)</f>
        <v>9</v>
      </c>
    </row>
    <row r="3" spans="1:4">
      <c r="A3" s="147">
        <f>PAGE1!$C$16</f>
        <v>24</v>
      </c>
    </row>
    <row r="4" spans="1:4" ht="12" customHeight="1">
      <c r="A4" s="150" t="s">
        <v>159</v>
      </c>
      <c r="B4" s="151" t="s">
        <v>115</v>
      </c>
      <c r="C4" s="151" t="s">
        <v>116</v>
      </c>
    </row>
    <row r="5" spans="1:4">
      <c r="A5" s="146" t="e">
        <f>$C$1&amp;".E30A.REM.PBSEC.APPR.LT450.."</f>
        <v>#N/A</v>
      </c>
      <c r="B5" s="43">
        <f>ROUND(PAGE1!$G$26,5)</f>
        <v>0</v>
      </c>
      <c r="C5" s="43">
        <f>ROUND(PAGE1!$I$26,5)</f>
        <v>0</v>
      </c>
    </row>
    <row r="6" spans="1:4">
      <c r="A6" s="146" t="e">
        <f>$C$1&amp;".E30A.REM.PBSEC.DISB.LT450.."</f>
        <v>#N/A</v>
      </c>
      <c r="B6" s="43">
        <f>ROUND(PAGE1!$K$26,5)</f>
        <v>0</v>
      </c>
      <c r="C6" s="43">
        <f>ROUND(PAGE1!$M$26,5)</f>
        <v>0</v>
      </c>
    </row>
    <row r="7" spans="1:4">
      <c r="A7" s="146" t="e">
        <f>$C$1&amp;".E30A.REM.PBSEC.OS.LT450.."</f>
        <v>#N/A</v>
      </c>
      <c r="B7" s="43">
        <f>ROUND(PAGE1!$O$26,5)</f>
        <v>0</v>
      </c>
      <c r="C7" s="43">
        <f>ROUND(PAGE1!$Q$26,5)</f>
        <v>0</v>
      </c>
    </row>
    <row r="8" spans="1:4">
      <c r="A8" s="146" t="e">
        <f>$C$1&amp;".E30A.REM.PBSEC.APPR.450TO750.."</f>
        <v>#N/A</v>
      </c>
      <c r="B8" s="43">
        <f>ROUND(PAGE1!$G$27,5)</f>
        <v>0</v>
      </c>
      <c r="C8" s="43">
        <f>ROUND(PAGE1!$I$27,5)</f>
        <v>0</v>
      </c>
    </row>
    <row r="9" spans="1:4">
      <c r="A9" s="146" t="e">
        <f>$C$1&amp;".E30A.REM.PBSEC.DISB.450TO750.."</f>
        <v>#N/A</v>
      </c>
      <c r="B9" s="43">
        <f>ROUND(PAGE1!$K$27,5)</f>
        <v>0</v>
      </c>
      <c r="C9" s="43">
        <f>ROUND(PAGE1!$M$27,5)</f>
        <v>0</v>
      </c>
    </row>
    <row r="10" spans="1:4">
      <c r="A10" s="146" t="e">
        <f>$C$1&amp;".E30A.REM.PBSEC.OS.450TO750.."</f>
        <v>#N/A</v>
      </c>
      <c r="B10" s="43">
        <f>ROUND(PAGE1!$O$27,5)</f>
        <v>0</v>
      </c>
      <c r="C10" s="43">
        <f>ROUND(PAGE1!$Q$27,5)</f>
        <v>0</v>
      </c>
    </row>
    <row r="11" spans="1:4">
      <c r="A11" s="146" t="e">
        <f>$C$1&amp;".E30A.REM.PBSEC.APPR.750TO1000.."</f>
        <v>#N/A</v>
      </c>
      <c r="B11" s="43">
        <f>ROUND(PAGE1!$G$28,5)</f>
        <v>0</v>
      </c>
      <c r="C11" s="43">
        <f>ROUND(PAGE1!$I$28,5)</f>
        <v>0</v>
      </c>
    </row>
    <row r="12" spans="1:4">
      <c r="A12" s="146" t="e">
        <f>$C$1&amp;".E30A.REM.PBSEC.DISB.750TO1000.."</f>
        <v>#N/A</v>
      </c>
      <c r="B12" s="43">
        <f>ROUND(PAGE1!$K$28,5)</f>
        <v>0</v>
      </c>
      <c r="C12" s="43">
        <f>ROUND(PAGE1!$M$28,5)</f>
        <v>0</v>
      </c>
    </row>
    <row r="13" spans="1:4">
      <c r="A13" s="146" t="e">
        <f>$C$1&amp;".E30A.REM.PBSEC.OS.750TO1000.."</f>
        <v>#N/A</v>
      </c>
      <c r="B13" s="43">
        <f>ROUND(PAGE1!$O$28,5)</f>
        <v>0</v>
      </c>
      <c r="C13" s="43">
        <f>ROUND(PAGE1!$Q$28,5)</f>
        <v>0</v>
      </c>
    </row>
    <row r="14" spans="1:4">
      <c r="A14" s="146" t="e">
        <f>$C$1&amp;".E30A.REM.PBSEC.APPR.1000TO1250.."</f>
        <v>#N/A</v>
      </c>
      <c r="B14" s="43">
        <f>ROUND(PAGE1!$G$29,5)</f>
        <v>0</v>
      </c>
      <c r="C14" s="43">
        <f>ROUND(PAGE1!$I$29,5)</f>
        <v>0</v>
      </c>
    </row>
    <row r="15" spans="1:4">
      <c r="A15" s="146" t="e">
        <f>$C$1&amp;".E30A.REM.PBSEC.DISB.1000TO1250.."</f>
        <v>#N/A</v>
      </c>
      <c r="B15" s="43">
        <f>ROUND(PAGE1!$K$29,5)</f>
        <v>0</v>
      </c>
      <c r="C15" s="43">
        <f>ROUND(PAGE1!$M$29,5)</f>
        <v>0</v>
      </c>
    </row>
    <row r="16" spans="1:4">
      <c r="A16" s="146" t="e">
        <f>$C$1&amp;".E30A.REM.PBSEC.OS.1000TO1250.."</f>
        <v>#N/A</v>
      </c>
      <c r="B16" s="43">
        <f>ROUND(PAGE1!$O$29,5)</f>
        <v>0</v>
      </c>
      <c r="C16" s="43">
        <f>ROUND(PAGE1!$Q$29,5)</f>
        <v>0</v>
      </c>
    </row>
    <row r="17" spans="1:3">
      <c r="A17" s="146" t="e">
        <f>$C$1&amp;".E30A.REM.PBSEC.APPR.1250TO1500.."</f>
        <v>#N/A</v>
      </c>
      <c r="B17" s="43">
        <f>ROUND(PAGE1!$G$30,5)</f>
        <v>0</v>
      </c>
      <c r="C17" s="43">
        <f>ROUND(PAGE1!$I$30,5)</f>
        <v>0</v>
      </c>
    </row>
    <row r="18" spans="1:3">
      <c r="A18" s="146" t="e">
        <f>$C$1&amp;".E30A.REM.PBSEC.DISB.1250TO1500.."</f>
        <v>#N/A</v>
      </c>
      <c r="B18" s="43">
        <f>ROUND(PAGE1!$K$30,5)</f>
        <v>0</v>
      </c>
      <c r="C18" s="43">
        <f>ROUND(PAGE1!$M$30,5)</f>
        <v>0</v>
      </c>
    </row>
    <row r="19" spans="1:3">
      <c r="A19" s="146" t="e">
        <f>$C$1&amp;".E30A.REM.PBSEC.OS.1250TO1500.."</f>
        <v>#N/A</v>
      </c>
      <c r="B19" s="43">
        <f>ROUND(PAGE1!$O$30,5)</f>
        <v>0</v>
      </c>
      <c r="C19" s="43">
        <f>ROUND(PAGE1!$Q$30,5)</f>
        <v>0</v>
      </c>
    </row>
    <row r="20" spans="1:3">
      <c r="A20" s="146" t="e">
        <f>$C$1&amp;".E30A.REM.PBSEC.APPR.1500TO1750.."</f>
        <v>#N/A</v>
      </c>
      <c r="B20" s="43">
        <f>ROUND(PAGE1!$G$31,5)</f>
        <v>0</v>
      </c>
      <c r="C20" s="43">
        <f>ROUND(PAGE1!$I$31,5)</f>
        <v>0</v>
      </c>
    </row>
    <row r="21" spans="1:3">
      <c r="A21" s="146" t="e">
        <f>$C$1&amp;".E30A.REM.PBSEC.DISB.1500TO1750.."</f>
        <v>#N/A</v>
      </c>
      <c r="B21" s="43">
        <f>ROUND(PAGE1!$K$31,5)</f>
        <v>0</v>
      </c>
      <c r="C21" s="43">
        <f>ROUND(PAGE1!$M$31,5)</f>
        <v>0</v>
      </c>
    </row>
    <row r="22" spans="1:3">
      <c r="A22" s="146" t="e">
        <f>$C$1&amp;".E30A.REM.PBSEC.OS.1500TO1750.."</f>
        <v>#N/A</v>
      </c>
      <c r="B22" s="43">
        <f>ROUND(PAGE1!$O$31,5)</f>
        <v>0</v>
      </c>
      <c r="C22" s="43">
        <f>ROUND(PAGE1!$Q$31,5)</f>
        <v>0</v>
      </c>
    </row>
    <row r="23" spans="1:3">
      <c r="A23" s="146" t="e">
        <f>$C$1&amp;".E30A.REM.PBSEC.APPR.1750TO2000.."</f>
        <v>#N/A</v>
      </c>
      <c r="B23" s="43">
        <f>ROUND(PAGE1!$G$32,5)</f>
        <v>0</v>
      </c>
      <c r="C23" s="43">
        <f>ROUND(PAGE1!$I$32,5)</f>
        <v>0</v>
      </c>
    </row>
    <row r="24" spans="1:3">
      <c r="A24" s="146" t="e">
        <f>$C$1&amp;".E30A.REM.PBSEC.DISB.1750TO2000.."</f>
        <v>#N/A</v>
      </c>
      <c r="B24" s="43">
        <f>ROUND(PAGE1!$K$32,5)</f>
        <v>0</v>
      </c>
      <c r="C24" s="43">
        <f>ROUND(PAGE1!$M$32,5)</f>
        <v>0</v>
      </c>
    </row>
    <row r="25" spans="1:3">
      <c r="A25" s="146" t="e">
        <f>$C$1&amp;".E30A.REM.PBSEC.OS.1750TO2000.."</f>
        <v>#N/A</v>
      </c>
      <c r="B25" s="43">
        <f>ROUND(PAGE1!$O$32,5)</f>
        <v>0</v>
      </c>
      <c r="C25" s="43">
        <f>ROUND(PAGE1!$Q$32,5)</f>
        <v>0</v>
      </c>
    </row>
    <row r="26" spans="1:3">
      <c r="A26" s="146" t="e">
        <f>$C$1&amp;".E30A.REM.PBSEC.APPR.2000TO2250.."</f>
        <v>#N/A</v>
      </c>
      <c r="B26" s="43">
        <f>ROUND(PAGE1!$G$33,5)</f>
        <v>0</v>
      </c>
      <c r="C26" s="43">
        <f>ROUND(PAGE1!$I$33,5)</f>
        <v>0</v>
      </c>
    </row>
    <row r="27" spans="1:3">
      <c r="A27" s="146" t="e">
        <f>$C$1&amp;".E30A.REM.PBSEC.DISB.2000TO2250.."</f>
        <v>#N/A</v>
      </c>
      <c r="B27" s="43">
        <f>ROUND(PAGE1!$K$33,5)</f>
        <v>0</v>
      </c>
      <c r="C27" s="43">
        <f>ROUND(PAGE1!$M$33,5)</f>
        <v>0</v>
      </c>
    </row>
    <row r="28" spans="1:3">
      <c r="A28" s="146" t="e">
        <f>$C$1&amp;".E30A.REM.PBSEC.OS.2000TO2250.."</f>
        <v>#N/A</v>
      </c>
      <c r="B28" s="43">
        <f>ROUND(PAGE1!$O$33,5)</f>
        <v>0</v>
      </c>
      <c r="C28" s="43">
        <f>ROUND(PAGE1!$Q$33,5)</f>
        <v>0</v>
      </c>
    </row>
    <row r="29" spans="1:3">
      <c r="A29" s="146" t="e">
        <f>$C$1&amp;".E30A.REM.PBSEC.APPR.2250TO2500.."</f>
        <v>#N/A</v>
      </c>
      <c r="B29" s="43">
        <f>ROUND(PAGE1!$G$34,5)</f>
        <v>0</v>
      </c>
      <c r="C29" s="43">
        <f>ROUND(PAGE1!$I$34,5)</f>
        <v>0</v>
      </c>
    </row>
    <row r="30" spans="1:3">
      <c r="A30" s="146" t="e">
        <f>$C$1&amp;".E30A.REM.PBSEC.DISB.2250TO2500.."</f>
        <v>#N/A</v>
      </c>
      <c r="B30" s="43">
        <f>ROUND(PAGE1!$K$34,5)</f>
        <v>0</v>
      </c>
      <c r="C30" s="43">
        <f>ROUND(PAGE1!$M$34,5)</f>
        <v>0</v>
      </c>
    </row>
    <row r="31" spans="1:3">
      <c r="A31" s="146" t="e">
        <f>$C$1&amp;".E30A.REM.PBSEC.OS.2250TO2500.."</f>
        <v>#N/A</v>
      </c>
      <c r="B31" s="43">
        <f>ROUND(PAGE1!$O$34,5)</f>
        <v>0</v>
      </c>
      <c r="C31" s="43">
        <f>ROUND(PAGE1!$Q$34,5)</f>
        <v>0</v>
      </c>
    </row>
    <row r="32" spans="1:3">
      <c r="A32" s="146" t="e">
        <f>$C$1&amp;".E30A.REM.PBSEC.APPR.2500TO2750.."</f>
        <v>#N/A</v>
      </c>
      <c r="B32" s="43">
        <f>ROUND(PAGE1!$G$35,5)</f>
        <v>0</v>
      </c>
      <c r="C32" s="43">
        <f>ROUND(PAGE1!$I$35,5)</f>
        <v>0</v>
      </c>
    </row>
    <row r="33" spans="1:3">
      <c r="A33" s="146" t="e">
        <f>$C$1&amp;".E30A.REM.PBSEC.DISB.2500TO2750.."</f>
        <v>#N/A</v>
      </c>
      <c r="B33" s="43">
        <f>ROUND(PAGE1!$K$35,5)</f>
        <v>0</v>
      </c>
      <c r="C33" s="43">
        <f>ROUND(PAGE1!$M$35,5)</f>
        <v>0</v>
      </c>
    </row>
    <row r="34" spans="1:3">
      <c r="A34" s="146" t="e">
        <f>$C$1&amp;".E30A.REM.PBSEC.OS.2500TO2750.."</f>
        <v>#N/A</v>
      </c>
      <c r="B34" s="43">
        <f>ROUND(PAGE1!$O$35,5)</f>
        <v>0</v>
      </c>
      <c r="C34" s="43">
        <f>ROUND(PAGE1!$Q$35,5)</f>
        <v>0</v>
      </c>
    </row>
    <row r="35" spans="1:3">
      <c r="A35" s="146" t="e">
        <f>$C$1&amp;".E30A.REM.PBSEC.APPR.2750TO3000.."</f>
        <v>#N/A</v>
      </c>
      <c r="B35" s="43">
        <f>ROUND(PAGE1!$G$36,5)</f>
        <v>0</v>
      </c>
      <c r="C35" s="43">
        <f>ROUND(PAGE1!$I$36,5)</f>
        <v>0</v>
      </c>
    </row>
    <row r="36" spans="1:3">
      <c r="A36" s="146" t="e">
        <f>$C$1&amp;".E30A.REM.PBSEC.DISB.2750TO3000.."</f>
        <v>#N/A</v>
      </c>
      <c r="B36" s="43">
        <f>ROUND(PAGE1!$K$36,5)</f>
        <v>0</v>
      </c>
      <c r="C36" s="43">
        <f>ROUND(PAGE1!$M$36,5)</f>
        <v>0</v>
      </c>
    </row>
    <row r="37" spans="1:3">
      <c r="A37" s="146" t="e">
        <f>$C$1&amp;".E30A.REM.PBSEC.OS.2750TO3000.."</f>
        <v>#N/A</v>
      </c>
      <c r="B37" s="43">
        <f>ROUND(PAGE1!$O$36,5)</f>
        <v>0</v>
      </c>
      <c r="C37" s="43">
        <f>ROUND(PAGE1!$Q$36,5)</f>
        <v>0</v>
      </c>
    </row>
    <row r="38" spans="1:3">
      <c r="A38" s="146" t="e">
        <f>$C$1&amp;".E30A.REM.PBSEC.APPR.OVR3000.."</f>
        <v>#N/A</v>
      </c>
      <c r="B38" s="43">
        <f>ROUND(PAGE1!$G$37,5)</f>
        <v>0</v>
      </c>
      <c r="C38" s="43">
        <f>ROUND(PAGE1!$I$37,5)</f>
        <v>0</v>
      </c>
    </row>
    <row r="39" spans="1:3">
      <c r="A39" s="146" t="e">
        <f>$C$1&amp;".E30A.REM.PBSEC.DISB.OVR3000.."</f>
        <v>#N/A</v>
      </c>
      <c r="B39" s="43">
        <f>ROUND(PAGE1!$K$37,5)</f>
        <v>0</v>
      </c>
      <c r="C39" s="43">
        <f>ROUND(PAGE1!$M$37,5)</f>
        <v>0</v>
      </c>
    </row>
    <row r="40" spans="1:3">
      <c r="A40" s="146" t="e">
        <f>$C$1&amp;".E30A.REM.PBSEC.OS.OVR3000.."</f>
        <v>#N/A</v>
      </c>
      <c r="B40" s="43">
        <f>ROUND(PAGE1!$O$37,5)</f>
        <v>0</v>
      </c>
      <c r="C40" s="43">
        <f>ROUND(PAGE1!$Q$37,5)</f>
        <v>0</v>
      </c>
    </row>
    <row r="41" spans="1:3">
      <c r="A41" s="152" t="e">
        <f>$C$1&amp;".E30A.REM.PBSEC.APPR.TTL.."</f>
        <v>#N/A</v>
      </c>
      <c r="B41" s="43">
        <f>ROUND(PAGE1!$G$25,5)</f>
        <v>0</v>
      </c>
      <c r="C41" s="43">
        <f>ROUND(PAGE1!$I$25,5)</f>
        <v>0</v>
      </c>
    </row>
    <row r="42" spans="1:3">
      <c r="A42" s="152" t="e">
        <f>$C$1&amp;".E30A.REM.PBSEC.DISB.TTL.."</f>
        <v>#N/A</v>
      </c>
      <c r="B42" s="43">
        <f>ROUND(PAGE1!$K$25,5)</f>
        <v>0</v>
      </c>
      <c r="C42" s="43">
        <f>ROUND(PAGE1!$M$25,5)</f>
        <v>0</v>
      </c>
    </row>
    <row r="43" spans="1:3">
      <c r="A43" s="152" t="e">
        <f>$C$1&amp;".E30A.REM.PBSEC.OS.TTL.."</f>
        <v>#N/A</v>
      </c>
      <c r="B43" s="43">
        <f>ROUND(PAGE1!$O$25,5)</f>
        <v>0</v>
      </c>
      <c r="C43" s="43">
        <f>ROUND(PAGE1!$Q$25,5)</f>
        <v>0</v>
      </c>
    </row>
    <row r="44" spans="1:3">
      <c r="A44" s="146" t="e">
        <f>$C$1&amp;".E30A.REM.PVFIN.APPR.LT450.."</f>
        <v>#N/A</v>
      </c>
      <c r="B44" s="43">
        <f>ROUND(PAGE1!$G$41,5)</f>
        <v>0</v>
      </c>
      <c r="C44" s="43">
        <f>ROUND(PAGE1!$I$41,5)</f>
        <v>0</v>
      </c>
    </row>
    <row r="45" spans="1:3">
      <c r="A45" s="146" t="e">
        <f>$C$1&amp;".E30A.REM.PVFIN.DISB.LT450.."</f>
        <v>#N/A</v>
      </c>
      <c r="B45" s="43">
        <f>ROUND(PAGE1!$K$41,5)</f>
        <v>0</v>
      </c>
      <c r="C45" s="43">
        <f>ROUND(PAGE1!$M$41,5)</f>
        <v>0</v>
      </c>
    </row>
    <row r="46" spans="1:3">
      <c r="A46" s="146" t="e">
        <f>$C$1&amp;".E30A.REM.PVFIN.OS.LT450.."</f>
        <v>#N/A</v>
      </c>
      <c r="B46" s="43">
        <f>ROUND(PAGE1!$O$41,5)</f>
        <v>0</v>
      </c>
      <c r="C46" s="43">
        <f>ROUND(PAGE1!$Q$41,5)</f>
        <v>0</v>
      </c>
    </row>
    <row r="47" spans="1:3">
      <c r="A47" s="146" t="e">
        <f>$C$1&amp;".E30A.REM.PVFIN.APPR.450TO750.."</f>
        <v>#N/A</v>
      </c>
      <c r="B47" s="43">
        <f>ROUND(PAGE1!$G$42,5)</f>
        <v>0</v>
      </c>
      <c r="C47" s="43">
        <f>ROUND(PAGE1!$I$42,5)</f>
        <v>0</v>
      </c>
    </row>
    <row r="48" spans="1:3">
      <c r="A48" s="146" t="e">
        <f>$C$1&amp;".E30A.REM.PVFIN.DISB.450TO750.."</f>
        <v>#N/A</v>
      </c>
      <c r="B48" s="43">
        <f>ROUND(PAGE1!$K$42,5)</f>
        <v>0</v>
      </c>
      <c r="C48" s="43">
        <f>ROUND(PAGE1!$M$42,5)</f>
        <v>0</v>
      </c>
    </row>
    <row r="49" spans="1:3">
      <c r="A49" s="146" t="e">
        <f>$C$1&amp;".E30A.REM.PVFIN.OS.450TO750.."</f>
        <v>#N/A</v>
      </c>
      <c r="B49" s="43">
        <f>ROUND(PAGE1!$O$42,5)</f>
        <v>0</v>
      </c>
      <c r="C49" s="43">
        <f>ROUND(PAGE1!$Q$42,5)</f>
        <v>0</v>
      </c>
    </row>
    <row r="50" spans="1:3">
      <c r="A50" s="146" t="e">
        <f>$C$1&amp;".E30A.REM.PVFIN.APPR.750TO1000.."</f>
        <v>#N/A</v>
      </c>
      <c r="B50" s="43">
        <f>ROUND(PAGE1!$G$43,5)</f>
        <v>0</v>
      </c>
      <c r="C50" s="43">
        <f>ROUND(PAGE1!$I$43,5)</f>
        <v>0</v>
      </c>
    </row>
    <row r="51" spans="1:3">
      <c r="A51" s="146" t="e">
        <f>$C$1&amp;".E30A.REM.PVFIN.DISB.750TO1000.."</f>
        <v>#N/A</v>
      </c>
      <c r="B51" s="43">
        <f>ROUND(PAGE1!$K$43,5)</f>
        <v>0</v>
      </c>
      <c r="C51" s="43">
        <f>ROUND(PAGE1!$M$43,5)</f>
        <v>0</v>
      </c>
    </row>
    <row r="52" spans="1:3">
      <c r="A52" s="146" t="e">
        <f>$C$1&amp;".E30A.REM.PVFIN.OS.750TO1000.."</f>
        <v>#N/A</v>
      </c>
      <c r="B52" s="43">
        <f>ROUND(PAGE1!$O$43,5)</f>
        <v>0</v>
      </c>
      <c r="C52" s="43">
        <f>ROUND(PAGE1!$Q$43,5)</f>
        <v>0</v>
      </c>
    </row>
    <row r="53" spans="1:3">
      <c r="A53" s="146" t="e">
        <f>$C$1&amp;".E30A.REM.PVFIN.APPR.1000TO1250.."</f>
        <v>#N/A</v>
      </c>
      <c r="B53" s="43">
        <f>ROUND(PAGE1!$G$44,5)</f>
        <v>0</v>
      </c>
      <c r="C53" s="43">
        <f>ROUND(PAGE1!$I$44,5)</f>
        <v>0</v>
      </c>
    </row>
    <row r="54" spans="1:3">
      <c r="A54" s="146" t="e">
        <f>$C$1&amp;".E30A.REM.PVFIN.DISB.1000TO1250.."</f>
        <v>#N/A</v>
      </c>
      <c r="B54" s="43">
        <f>ROUND(PAGE1!$K$44,5)</f>
        <v>0</v>
      </c>
      <c r="C54" s="43">
        <f>ROUND(PAGE1!$M$44,5)</f>
        <v>0</v>
      </c>
    </row>
    <row r="55" spans="1:3">
      <c r="A55" s="146" t="e">
        <f>$C$1&amp;".E30A.REM.PVFIN.OS.1000TO1250.."</f>
        <v>#N/A</v>
      </c>
      <c r="B55" s="43">
        <f>ROUND(PAGE1!$O$44,5)</f>
        <v>0</v>
      </c>
      <c r="C55" s="43">
        <f>ROUND(PAGE1!$Q$44,5)</f>
        <v>0</v>
      </c>
    </row>
    <row r="56" spans="1:3">
      <c r="A56" s="146" t="e">
        <f>$C$1&amp;".E30A.REM.PVFIN.APPR.1250TO1500.."</f>
        <v>#N/A</v>
      </c>
      <c r="B56" s="43">
        <f>ROUND(PAGE1!$G$45,5)</f>
        <v>0</v>
      </c>
      <c r="C56" s="43">
        <f>ROUND(PAGE1!$I$45,5)</f>
        <v>0</v>
      </c>
    </row>
    <row r="57" spans="1:3">
      <c r="A57" s="146" t="e">
        <f>$C$1&amp;".E30A.REM.PVFIN.DISB.1250TO1500.."</f>
        <v>#N/A</v>
      </c>
      <c r="B57" s="43">
        <f>ROUND(PAGE1!$K$45,5)</f>
        <v>0</v>
      </c>
      <c r="C57" s="43">
        <f>ROUND(PAGE1!$M$45,5)</f>
        <v>0</v>
      </c>
    </row>
    <row r="58" spans="1:3">
      <c r="A58" s="146" t="e">
        <f>$C$1&amp;".E30A.REM.PVFIN.OS.1250TO1500.."</f>
        <v>#N/A</v>
      </c>
      <c r="B58" s="43">
        <f>ROUND(PAGE1!$O$45,5)</f>
        <v>0</v>
      </c>
      <c r="C58" s="43">
        <f>ROUND(PAGE1!$Q$45,5)</f>
        <v>0</v>
      </c>
    </row>
    <row r="59" spans="1:3">
      <c r="A59" s="146" t="e">
        <f>$C$1&amp;".E30A.REM.PVFIN.APPR.1500TO1750.."</f>
        <v>#N/A</v>
      </c>
      <c r="B59" s="43">
        <f>ROUND(PAGE1!$G$46,5)</f>
        <v>0</v>
      </c>
      <c r="C59" s="43">
        <f>ROUND(PAGE1!$I$46,5)</f>
        <v>0</v>
      </c>
    </row>
    <row r="60" spans="1:3">
      <c r="A60" s="146" t="e">
        <f>$C$1&amp;".E30A.REM.PVFIN.DISB.1500TO1750.."</f>
        <v>#N/A</v>
      </c>
      <c r="B60" s="43">
        <f>ROUND(PAGE1!$K$46,5)</f>
        <v>0</v>
      </c>
      <c r="C60" s="43">
        <f>ROUND(PAGE1!$M$46,5)</f>
        <v>0</v>
      </c>
    </row>
    <row r="61" spans="1:3">
      <c r="A61" s="146" t="e">
        <f>$C$1&amp;".E30A.REM.PVFIN.OS.1500TO1750.."</f>
        <v>#N/A</v>
      </c>
      <c r="B61" s="43">
        <f>ROUND(PAGE1!$O$46,5)</f>
        <v>0</v>
      </c>
      <c r="C61" s="43">
        <f>ROUND(PAGE1!$Q$46,5)</f>
        <v>0</v>
      </c>
    </row>
    <row r="62" spans="1:3">
      <c r="A62" s="146" t="e">
        <f>$C$1&amp;".E30A.REM.PVFIN.APPR.1750TO2000.."</f>
        <v>#N/A</v>
      </c>
      <c r="B62" s="43">
        <f>ROUND(PAGE1!$G$47,5)</f>
        <v>0</v>
      </c>
      <c r="C62" s="43">
        <f>ROUND(PAGE1!$I$47,5)</f>
        <v>0</v>
      </c>
    </row>
    <row r="63" spans="1:3">
      <c r="A63" s="146" t="e">
        <f>$C$1&amp;".E30A.REM.PVFIN.DISB.1750TO2000.."</f>
        <v>#N/A</v>
      </c>
      <c r="B63" s="43">
        <f>ROUND(PAGE1!$K$47,5)</f>
        <v>0</v>
      </c>
      <c r="C63" s="43">
        <f>ROUND(PAGE1!$M$47,5)</f>
        <v>0</v>
      </c>
    </row>
    <row r="64" spans="1:3">
      <c r="A64" s="146" t="e">
        <f>$C$1&amp;".E30A.REM.PVFIN.OS.1750TO2000.."</f>
        <v>#N/A</v>
      </c>
      <c r="B64" s="43">
        <f>ROUND(PAGE1!$O$47,5)</f>
        <v>0</v>
      </c>
      <c r="C64" s="43">
        <f>ROUND(PAGE1!$Q$47,5)</f>
        <v>0</v>
      </c>
    </row>
    <row r="65" spans="1:3">
      <c r="A65" s="146" t="e">
        <f>$C$1&amp;".E30A.REM.PVFIN.APPR.2000TO2250.."</f>
        <v>#N/A</v>
      </c>
      <c r="B65" s="43">
        <f>ROUND(PAGE1!$G$48,5)</f>
        <v>0</v>
      </c>
      <c r="C65" s="43">
        <f>ROUND(PAGE1!$I$48,5)</f>
        <v>0</v>
      </c>
    </row>
    <row r="66" spans="1:3">
      <c r="A66" s="146" t="e">
        <f>$C$1&amp;".E30A.REM.PVFIN.DISB.2000TO2250.."</f>
        <v>#N/A</v>
      </c>
      <c r="B66" s="43">
        <f>ROUND(PAGE1!$K$48,5)</f>
        <v>0</v>
      </c>
      <c r="C66" s="43">
        <f>ROUND(PAGE1!$M$48,5)</f>
        <v>0</v>
      </c>
    </row>
    <row r="67" spans="1:3">
      <c r="A67" s="146" t="e">
        <f>$C$1&amp;".E30A.REM.PVFIN.OS.2000TO2250.."</f>
        <v>#N/A</v>
      </c>
      <c r="B67" s="43">
        <f>ROUND(PAGE1!$O$48,5)</f>
        <v>0</v>
      </c>
      <c r="C67" s="43">
        <f>ROUND(PAGE1!$Q$48,5)</f>
        <v>0</v>
      </c>
    </row>
    <row r="68" spans="1:3">
      <c r="A68" s="146" t="e">
        <f>$C$1&amp;".E30A.REM.PVFIN.APPR.2250TO2500.."</f>
        <v>#N/A</v>
      </c>
      <c r="B68" s="43">
        <f>ROUND(PAGE1!$G$49,5)</f>
        <v>0</v>
      </c>
      <c r="C68" s="43">
        <f>ROUND(PAGE1!$I$49,5)</f>
        <v>0</v>
      </c>
    </row>
    <row r="69" spans="1:3">
      <c r="A69" s="146" t="e">
        <f>$C$1&amp;".E30A.REM.PVFIN.DISB.2250TO2500.."</f>
        <v>#N/A</v>
      </c>
      <c r="B69" s="43">
        <f>ROUND(PAGE1!$K$49,5)</f>
        <v>0</v>
      </c>
      <c r="C69" s="43">
        <f>ROUND(PAGE1!$M$49,5)</f>
        <v>0</v>
      </c>
    </row>
    <row r="70" spans="1:3">
      <c r="A70" s="146" t="e">
        <f>$C$1&amp;".E30A.REM.PVFIN.OS.2250TO2500.."</f>
        <v>#N/A</v>
      </c>
      <c r="B70" s="43">
        <f>ROUND(PAGE1!$O$49,5)</f>
        <v>0</v>
      </c>
      <c r="C70" s="43">
        <f>ROUND(PAGE1!$Q$49,5)</f>
        <v>0</v>
      </c>
    </row>
    <row r="71" spans="1:3">
      <c r="A71" s="146" t="e">
        <f>$C$1&amp;".E30A.REM.PVFIN.APPR.2500TO2750.."</f>
        <v>#N/A</v>
      </c>
      <c r="B71" s="43">
        <f>ROUND(PAGE1!$G$50,5)</f>
        <v>0</v>
      </c>
      <c r="C71" s="43">
        <f>ROUND(PAGE1!$I$50,5)</f>
        <v>0</v>
      </c>
    </row>
    <row r="72" spans="1:3">
      <c r="A72" s="146" t="e">
        <f>$C$1&amp;".E30A.REM.PVFIN.DISB.2500TO2750.."</f>
        <v>#N/A</v>
      </c>
      <c r="B72" s="43">
        <f>ROUND(PAGE1!$K$50,5)</f>
        <v>0</v>
      </c>
      <c r="C72" s="43">
        <f>ROUND(PAGE1!$M$50,5)</f>
        <v>0</v>
      </c>
    </row>
    <row r="73" spans="1:3">
      <c r="A73" s="146" t="e">
        <f>$C$1&amp;".E30A.REM.PVFIN.OS.2500TO2750.."</f>
        <v>#N/A</v>
      </c>
      <c r="B73" s="43">
        <f>ROUND(PAGE1!$O$50,5)</f>
        <v>0</v>
      </c>
      <c r="C73" s="43">
        <f>ROUND(PAGE1!$Q$50,5)</f>
        <v>0</v>
      </c>
    </row>
    <row r="74" spans="1:3">
      <c r="A74" s="146" t="e">
        <f>$C$1&amp;".E30A.REM.PVFIN.APPR.2750TO3000.."</f>
        <v>#N/A</v>
      </c>
      <c r="B74" s="43">
        <f>ROUND(PAGE1!$G$51,5)</f>
        <v>0</v>
      </c>
      <c r="C74" s="43">
        <f>ROUND(PAGE1!$I$51,5)</f>
        <v>0</v>
      </c>
    </row>
    <row r="75" spans="1:3">
      <c r="A75" s="146" t="e">
        <f>$C$1&amp;".E30A.REM.PVFIN.DISB.2750TO3000.."</f>
        <v>#N/A</v>
      </c>
      <c r="B75" s="43">
        <f>ROUND(PAGE1!$K$51,5)</f>
        <v>0</v>
      </c>
      <c r="C75" s="43">
        <f>ROUND(PAGE1!$M$51,5)</f>
        <v>0</v>
      </c>
    </row>
    <row r="76" spans="1:3">
      <c r="A76" s="146" t="e">
        <f>$C$1&amp;".E30A.REM.PVFIN.OS.2750TO3000.."</f>
        <v>#N/A</v>
      </c>
      <c r="B76" s="43">
        <f>ROUND(PAGE1!$O$51,5)</f>
        <v>0</v>
      </c>
      <c r="C76" s="43">
        <f>ROUND(PAGE1!$Q$51,5)</f>
        <v>0</v>
      </c>
    </row>
    <row r="77" spans="1:3">
      <c r="A77" s="146" t="e">
        <f>$C$1&amp;".E30A.REM.PVFIN.APPR.OVR3000.."</f>
        <v>#N/A</v>
      </c>
      <c r="B77" s="43">
        <f>ROUND(PAGE1!$G$52,5)</f>
        <v>0</v>
      </c>
      <c r="C77" s="43">
        <f>ROUND(PAGE1!$I$52,5)</f>
        <v>0</v>
      </c>
    </row>
    <row r="78" spans="1:3">
      <c r="A78" s="146" t="e">
        <f>$C$1&amp;".E30A.REM.PVFIN.DISB.OVR3000.."</f>
        <v>#N/A</v>
      </c>
      <c r="B78" s="43">
        <f>ROUND(PAGE1!$K$52,5)</f>
        <v>0</v>
      </c>
      <c r="C78" s="43">
        <f>ROUND(PAGE1!$M$52,5)</f>
        <v>0</v>
      </c>
    </row>
    <row r="79" spans="1:3">
      <c r="A79" s="146" t="e">
        <f>$C$1&amp;".E30A.REM.PVFIN.OS.OVR3000.."</f>
        <v>#N/A</v>
      </c>
      <c r="B79" s="43">
        <f>ROUND(PAGE1!$O$52,5)</f>
        <v>0</v>
      </c>
      <c r="C79" s="43">
        <f>ROUND(PAGE1!$Q$52,5)</f>
        <v>0</v>
      </c>
    </row>
    <row r="80" spans="1:3">
      <c r="A80" s="152" t="e">
        <f>$C$1&amp;".E30A.REM.PVFIN.APPR.TTL.."</f>
        <v>#N/A</v>
      </c>
      <c r="B80" s="43">
        <f>ROUND(PAGE1!$G$40,5)</f>
        <v>0</v>
      </c>
      <c r="C80" s="43">
        <f>ROUND(PAGE1!$I$40,5)</f>
        <v>0</v>
      </c>
    </row>
    <row r="81" spans="1:3">
      <c r="A81" s="152" t="e">
        <f>$C$1&amp;".E30A.REM.PVFIN.DISB.TTL.."</f>
        <v>#N/A</v>
      </c>
      <c r="B81" s="43">
        <f>ROUND(PAGE1!$K$40,5)</f>
        <v>0</v>
      </c>
      <c r="C81" s="43">
        <f>ROUND(PAGE1!$M$40,5)</f>
        <v>0</v>
      </c>
    </row>
    <row r="82" spans="1:3">
      <c r="A82" s="152" t="e">
        <f>$C$1&amp;".E30A.REM.PVFIN.OS.TTL.."</f>
        <v>#N/A</v>
      </c>
      <c r="B82" s="43">
        <f>ROUND(PAGE1!$O$40,5)</f>
        <v>0</v>
      </c>
      <c r="C82" s="43">
        <f>ROUND(PAGE1!$Q$40,5)</f>
        <v>0</v>
      </c>
    </row>
    <row r="83" spans="1:3">
      <c r="A83" s="146" t="e">
        <f>$C$1&amp;".E30A.REM.IBUS.APPR.LT450.."</f>
        <v>#N/A</v>
      </c>
      <c r="B83" s="43">
        <f>ROUND(PAGE1!$G$56,5)</f>
        <v>0</v>
      </c>
      <c r="C83" s="43">
        <f>ROUND(PAGE1!$I$56,5)</f>
        <v>0</v>
      </c>
    </row>
    <row r="84" spans="1:3">
      <c r="A84" s="146" t="e">
        <f>$C$1&amp;".E30A.REM.IBUS.DISB.LT450.."</f>
        <v>#N/A</v>
      </c>
      <c r="B84" s="43">
        <f>ROUND(PAGE1!$K$56,5)</f>
        <v>0</v>
      </c>
      <c r="C84" s="43">
        <f>ROUND(PAGE1!$M$56,5)</f>
        <v>0</v>
      </c>
    </row>
    <row r="85" spans="1:3">
      <c r="A85" s="146" t="e">
        <f>$C$1&amp;".E30A.REM.IBUS.OS.LT450.."</f>
        <v>#N/A</v>
      </c>
      <c r="B85" s="43">
        <f>ROUND(PAGE1!$O$56,5)</f>
        <v>0</v>
      </c>
      <c r="C85" s="43">
        <f>ROUND(PAGE1!$Q$56,5)</f>
        <v>0</v>
      </c>
    </row>
    <row r="86" spans="1:3">
      <c r="A86" s="146" t="e">
        <f>$C$1&amp;".E30A.REM.IBUS.APPR.450TO750.."</f>
        <v>#N/A</v>
      </c>
      <c r="B86" s="43">
        <f>ROUND(PAGE1!$G$57,5)</f>
        <v>0</v>
      </c>
      <c r="C86" s="43">
        <f>ROUND(PAGE1!$I$57,5)</f>
        <v>0</v>
      </c>
    </row>
    <row r="87" spans="1:3">
      <c r="A87" s="146" t="e">
        <f>$C$1&amp;".E30A.REM.IBUS.DISB.450TO750.."</f>
        <v>#N/A</v>
      </c>
      <c r="B87" s="43">
        <f>ROUND(PAGE1!$K$57,5)</f>
        <v>0</v>
      </c>
      <c r="C87" s="43">
        <f>ROUND(PAGE1!$M$57,5)</f>
        <v>0</v>
      </c>
    </row>
    <row r="88" spans="1:3">
      <c r="A88" s="146" t="e">
        <f>$C$1&amp;".E30A.REM.IBUS.OS.450TO750.."</f>
        <v>#N/A</v>
      </c>
      <c r="B88" s="43">
        <f>ROUND(PAGE1!$O$57,5)</f>
        <v>0</v>
      </c>
      <c r="C88" s="43">
        <f>ROUND(PAGE1!$Q$57,5)</f>
        <v>0</v>
      </c>
    </row>
    <row r="89" spans="1:3">
      <c r="A89" s="146" t="e">
        <f>$C$1&amp;".E30A.REM.IBUS.APPR.750TO1000.."</f>
        <v>#N/A</v>
      </c>
      <c r="B89" s="43">
        <f>ROUND(PAGE1!$G$58,5)</f>
        <v>0</v>
      </c>
      <c r="C89" s="43">
        <f>ROUND(PAGE1!$I$58,5)</f>
        <v>0</v>
      </c>
    </row>
    <row r="90" spans="1:3">
      <c r="A90" s="146" t="e">
        <f>$C$1&amp;".E30A.REM.IBUS.DISB.750TO1000.."</f>
        <v>#N/A</v>
      </c>
      <c r="B90" s="43">
        <f>ROUND(PAGE1!$K$58,5)</f>
        <v>0</v>
      </c>
      <c r="C90" s="43">
        <f>ROUND(PAGE1!$M$58,5)</f>
        <v>0</v>
      </c>
    </row>
    <row r="91" spans="1:3">
      <c r="A91" s="146" t="e">
        <f>$C$1&amp;".E30A.REM.IBUS.OS.750TO1000.."</f>
        <v>#N/A</v>
      </c>
      <c r="B91" s="43">
        <f>ROUND(PAGE1!$O$58,5)</f>
        <v>0</v>
      </c>
      <c r="C91" s="43">
        <f>ROUND(PAGE1!$Q$58,5)</f>
        <v>0</v>
      </c>
    </row>
    <row r="92" spans="1:3">
      <c r="A92" s="146" t="e">
        <f>$C$1&amp;".E30A.REM.IBUS.APPR.1000TO1250.."</f>
        <v>#N/A</v>
      </c>
      <c r="B92" s="43">
        <f>ROUND(PAGE1!$G$59,5)</f>
        <v>0</v>
      </c>
      <c r="C92" s="43">
        <f>ROUND(PAGE1!$I$59,5)</f>
        <v>0</v>
      </c>
    </row>
    <row r="93" spans="1:3">
      <c r="A93" s="146" t="e">
        <f>$C$1&amp;".E30A.REM.IBUS.DISB.1000TO1250.."</f>
        <v>#N/A</v>
      </c>
      <c r="B93" s="43">
        <f>ROUND(PAGE1!$K$59,5)</f>
        <v>0</v>
      </c>
      <c r="C93" s="43">
        <f>ROUND(PAGE1!$M$59,5)</f>
        <v>0</v>
      </c>
    </row>
    <row r="94" spans="1:3">
      <c r="A94" s="146" t="e">
        <f>$C$1&amp;".E30A.REM.IBUS.OS.1000TO1250.."</f>
        <v>#N/A</v>
      </c>
      <c r="B94" s="43">
        <f>ROUND(PAGE1!$O$59,5)</f>
        <v>0</v>
      </c>
      <c r="C94" s="43">
        <f>ROUND(PAGE1!$Q$59,5)</f>
        <v>0</v>
      </c>
    </row>
    <row r="95" spans="1:3">
      <c r="A95" s="146" t="e">
        <f>$C$1&amp;".E30A.REM.IBUS.APPR.1250TO1500.."</f>
        <v>#N/A</v>
      </c>
      <c r="B95" s="43">
        <f>ROUND(PAGE1!$G$60,5)</f>
        <v>0</v>
      </c>
      <c r="C95" s="43">
        <f>ROUND(PAGE1!$I$60,5)</f>
        <v>0</v>
      </c>
    </row>
    <row r="96" spans="1:3">
      <c r="A96" s="146" t="e">
        <f>$C$1&amp;".E30A.REM.IBUS.DISB.1250TO1500.."</f>
        <v>#N/A</v>
      </c>
      <c r="B96" s="43">
        <f>ROUND(PAGE1!$K$60,5)</f>
        <v>0</v>
      </c>
      <c r="C96" s="43">
        <f>ROUND(PAGE1!$M$60,5)</f>
        <v>0</v>
      </c>
    </row>
    <row r="97" spans="1:3">
      <c r="A97" s="146" t="e">
        <f>$C$1&amp;".E30A.REM.IBUS.OS.1250TO1500.."</f>
        <v>#N/A</v>
      </c>
      <c r="B97" s="43">
        <f>ROUND(PAGE1!$O$60,5)</f>
        <v>0</v>
      </c>
      <c r="C97" s="43">
        <f>ROUND(PAGE1!$Q$60,5)</f>
        <v>0</v>
      </c>
    </row>
    <row r="98" spans="1:3">
      <c r="A98" s="146" t="e">
        <f>$C$1&amp;".E30A.REM.IBUS.APPR.1500TO1750.."</f>
        <v>#N/A</v>
      </c>
      <c r="B98" s="43">
        <f>ROUND(PAGE1!$G$61,5)</f>
        <v>0</v>
      </c>
      <c r="C98" s="43">
        <f>ROUND(PAGE1!$I$61,5)</f>
        <v>0</v>
      </c>
    </row>
    <row r="99" spans="1:3">
      <c r="A99" s="146" t="e">
        <f>$C$1&amp;".E30A.REM.IBUS.DISB.1500TO1750.."</f>
        <v>#N/A</v>
      </c>
      <c r="B99" s="43">
        <f>ROUND(PAGE1!$K$61,5)</f>
        <v>0</v>
      </c>
      <c r="C99" s="43">
        <f>ROUND(PAGE1!$M$61,5)</f>
        <v>0</v>
      </c>
    </row>
    <row r="100" spans="1:3">
      <c r="A100" s="146" t="e">
        <f>$C$1&amp;".E30A.REM.IBUS.OS.1500TO1750.."</f>
        <v>#N/A</v>
      </c>
      <c r="B100" s="43">
        <f>ROUND(PAGE1!$O$61,5)</f>
        <v>0</v>
      </c>
      <c r="C100" s="43">
        <f>ROUND(PAGE1!$Q$61,5)</f>
        <v>0</v>
      </c>
    </row>
    <row r="101" spans="1:3">
      <c r="A101" s="146" t="e">
        <f>$C$1&amp;".E30A.REM.IBUS.APPR.1750TO2000.."</f>
        <v>#N/A</v>
      </c>
      <c r="B101" s="43">
        <f>ROUND(PAGE1!$G$62,5)</f>
        <v>0</v>
      </c>
      <c r="C101" s="43">
        <f>ROUND(PAGE1!$I$62,5)</f>
        <v>0</v>
      </c>
    </row>
    <row r="102" spans="1:3">
      <c r="A102" s="146" t="e">
        <f>$C$1&amp;".E30A.REM.IBUS.DISB.1750TO2000.."</f>
        <v>#N/A</v>
      </c>
      <c r="B102" s="43">
        <f>ROUND(PAGE1!$K$62,5)</f>
        <v>0</v>
      </c>
      <c r="C102" s="43">
        <f>ROUND(PAGE1!$M$62,5)</f>
        <v>0</v>
      </c>
    </row>
    <row r="103" spans="1:3">
      <c r="A103" s="146" t="e">
        <f>$C$1&amp;".E30A.REM.IBUS.OS.1750TO2000.."</f>
        <v>#N/A</v>
      </c>
      <c r="B103" s="43">
        <f>ROUND(PAGE1!$O$62,5)</f>
        <v>0</v>
      </c>
      <c r="C103" s="43">
        <f>ROUND(PAGE1!$Q$62,5)</f>
        <v>0</v>
      </c>
    </row>
    <row r="104" spans="1:3">
      <c r="A104" s="146" t="e">
        <f>$C$1&amp;".E30A.REM.IBUS.APPR.2000TO2250.."</f>
        <v>#N/A</v>
      </c>
      <c r="B104" s="43">
        <f>ROUND(PAGE1!$G$63,5)</f>
        <v>0</v>
      </c>
      <c r="C104" s="43">
        <f>ROUND(PAGE1!$I$63,5)</f>
        <v>0</v>
      </c>
    </row>
    <row r="105" spans="1:3">
      <c r="A105" s="146" t="e">
        <f>$C$1&amp;".E30A.REM.IBUS.DISB.2000TO2250.."</f>
        <v>#N/A</v>
      </c>
      <c r="B105" s="43">
        <f>ROUND(PAGE1!$K$63,5)</f>
        <v>0</v>
      </c>
      <c r="C105" s="43">
        <f>ROUND(PAGE1!$M$63,5)</f>
        <v>0</v>
      </c>
    </row>
    <row r="106" spans="1:3">
      <c r="A106" s="146" t="e">
        <f>$C$1&amp;".E30A.REM.IBUS.OS.2000TO2250.."</f>
        <v>#N/A</v>
      </c>
      <c r="B106" s="43">
        <f>ROUND(PAGE1!$O$63,5)</f>
        <v>0</v>
      </c>
      <c r="C106" s="43">
        <f>ROUND(PAGE1!$Q$63,5)</f>
        <v>0</v>
      </c>
    </row>
    <row r="107" spans="1:3">
      <c r="A107" s="146" t="e">
        <f>$C$1&amp;".E30A.REM.IBUS.APPR.2250TO2500.."</f>
        <v>#N/A</v>
      </c>
      <c r="B107" s="43">
        <f>ROUND(PAGE1!$G$64,5)</f>
        <v>0</v>
      </c>
      <c r="C107" s="43">
        <f>ROUND(PAGE1!$I$64,5)</f>
        <v>0</v>
      </c>
    </row>
    <row r="108" spans="1:3">
      <c r="A108" s="146" t="e">
        <f>$C$1&amp;".E30A.REM.IBUS.DISB.2250TO2500.."</f>
        <v>#N/A</v>
      </c>
      <c r="B108" s="43">
        <f>ROUND(PAGE1!$K$64,5)</f>
        <v>0</v>
      </c>
      <c r="C108" s="43">
        <f>ROUND(PAGE1!$M$64,5)</f>
        <v>0</v>
      </c>
    </row>
    <row r="109" spans="1:3">
      <c r="A109" s="146" t="e">
        <f>$C$1&amp;".E30A.REM.IBUS.OS.2250TO2500.."</f>
        <v>#N/A</v>
      </c>
      <c r="B109" s="43">
        <f>ROUND(PAGE1!$O$64,5)</f>
        <v>0</v>
      </c>
      <c r="C109" s="43">
        <f>ROUND(PAGE1!$Q$64,5)</f>
        <v>0</v>
      </c>
    </row>
    <row r="110" spans="1:3">
      <c r="A110" s="146" t="e">
        <f>$C$1&amp;".E30A.REM.IBUS.APPR.2500TO2750.."</f>
        <v>#N/A</v>
      </c>
      <c r="B110" s="43">
        <f>ROUND(PAGE1!$G$65,5)</f>
        <v>0</v>
      </c>
      <c r="C110" s="43">
        <f>ROUND(PAGE1!$I$65,5)</f>
        <v>0</v>
      </c>
    </row>
    <row r="111" spans="1:3">
      <c r="A111" s="146" t="e">
        <f>$C$1&amp;".E30A.REM.IBUS.DISB.2500TO2750.."</f>
        <v>#N/A</v>
      </c>
      <c r="B111" s="43">
        <f>ROUND(PAGE1!$K$65,5)</f>
        <v>0</v>
      </c>
      <c r="C111" s="43">
        <f>ROUND(PAGE1!$M$65,5)</f>
        <v>0</v>
      </c>
    </row>
    <row r="112" spans="1:3">
      <c r="A112" s="146" t="e">
        <f>$C$1&amp;".E30A.REM.IBUS.OS.2500TO2750.."</f>
        <v>#N/A</v>
      </c>
      <c r="B112" s="43">
        <f>ROUND(PAGE1!$O$65,5)</f>
        <v>0</v>
      </c>
      <c r="C112" s="43">
        <f>ROUND(PAGE1!$Q$65,5)</f>
        <v>0</v>
      </c>
    </row>
    <row r="113" spans="1:3">
      <c r="A113" s="146" t="e">
        <f>$C$1&amp;".E30A.REM.IBUS.APPR.2750TO3000.."</f>
        <v>#N/A</v>
      </c>
      <c r="B113" s="43">
        <f>ROUND(PAGE1!$G$66,5)</f>
        <v>0</v>
      </c>
      <c r="C113" s="43">
        <f>ROUND(PAGE1!$I$66,5)</f>
        <v>0</v>
      </c>
    </row>
    <row r="114" spans="1:3">
      <c r="A114" s="146" t="e">
        <f>$C$1&amp;".E30A.REM.IBUS.DISB.2750TO3000.."</f>
        <v>#N/A</v>
      </c>
      <c r="B114" s="43">
        <f>ROUND(PAGE1!$K$66,5)</f>
        <v>0</v>
      </c>
      <c r="C114" s="43">
        <f>ROUND(PAGE1!$M$66,5)</f>
        <v>0</v>
      </c>
    </row>
    <row r="115" spans="1:3">
      <c r="A115" s="146" t="e">
        <f>$C$1&amp;".E30A.REM.IBUS.OS.2750TO3000.."</f>
        <v>#N/A</v>
      </c>
      <c r="B115" s="43">
        <f>ROUND(PAGE1!$O$66,5)</f>
        <v>0</v>
      </c>
      <c r="C115" s="43">
        <f>ROUND(PAGE1!$Q$66,5)</f>
        <v>0</v>
      </c>
    </row>
    <row r="116" spans="1:3">
      <c r="A116" s="146" t="e">
        <f>$C$1&amp;".E30A.REM.IBUS.APPR.OVR3000.."</f>
        <v>#N/A</v>
      </c>
      <c r="B116" s="43">
        <f>ROUND(PAGE1!$G$67,5)</f>
        <v>0</v>
      </c>
      <c r="C116" s="43">
        <f>ROUND(PAGE1!$I$67,5)</f>
        <v>0</v>
      </c>
    </row>
    <row r="117" spans="1:3">
      <c r="A117" s="146" t="e">
        <f>$C$1&amp;".E30A.REM.IBUS.DISB.OVR3000.."</f>
        <v>#N/A</v>
      </c>
      <c r="B117" s="43">
        <f>ROUND(PAGE1!$K$67,5)</f>
        <v>0</v>
      </c>
      <c r="C117" s="43">
        <f>ROUND(PAGE1!$M$67,5)</f>
        <v>0</v>
      </c>
    </row>
    <row r="118" spans="1:3">
      <c r="A118" s="146" t="e">
        <f>$C$1&amp;".E30A.REM.IBUS.OS.OVR3000.."</f>
        <v>#N/A</v>
      </c>
      <c r="B118" s="43">
        <f>ROUND(PAGE1!$O$67,5)</f>
        <v>0</v>
      </c>
      <c r="C118" s="43">
        <f>ROUND(PAGE1!$Q$67,5)</f>
        <v>0</v>
      </c>
    </row>
    <row r="119" spans="1:3">
      <c r="A119" s="152" t="e">
        <f>$C$1&amp;".E30A.REM.IBUS.APPR.TTL.."</f>
        <v>#N/A</v>
      </c>
      <c r="B119" s="43">
        <f>ROUND(PAGE1!$G$55,5)</f>
        <v>0</v>
      </c>
      <c r="C119" s="43">
        <f>ROUND(PAGE1!$I$55,5)</f>
        <v>0</v>
      </c>
    </row>
    <row r="120" spans="1:3">
      <c r="A120" s="152" t="e">
        <f>$C$1&amp;".E30A.REM.IBUS.DISB.TTL.."</f>
        <v>#N/A</v>
      </c>
      <c r="B120" s="43">
        <f>ROUND(PAGE1!$K$55,5)</f>
        <v>0</v>
      </c>
      <c r="C120" s="43">
        <f>ROUND(PAGE1!$M$55,5)</f>
        <v>0</v>
      </c>
    </row>
    <row r="121" spans="1:3">
      <c r="A121" s="152" t="e">
        <f>$C$1&amp;".E30A.REM.IBUS.OS.TTL.."</f>
        <v>#N/A</v>
      </c>
      <c r="B121" s="43">
        <f>ROUND(PAGE1!$O$55,5)</f>
        <v>0</v>
      </c>
      <c r="C121" s="43">
        <f>ROUND(PAGE1!$Q$55,5)</f>
        <v>0</v>
      </c>
    </row>
    <row r="122" spans="1:3">
      <c r="A122" s="146" t="e">
        <f>$C$1&amp;".E30A.REM.UIBUS.APPR.LT450.."</f>
        <v>#N/A</v>
      </c>
      <c r="B122" s="43">
        <f>ROUND(PAGE1!$G$71,5)</f>
        <v>0</v>
      </c>
      <c r="C122" s="43">
        <f>ROUND(PAGE1!$I$71,5)</f>
        <v>0</v>
      </c>
    </row>
    <row r="123" spans="1:3">
      <c r="A123" s="146" t="e">
        <f>$C$1&amp;".E30A.REM.UIBUS.DISB.LT450.."</f>
        <v>#N/A</v>
      </c>
      <c r="B123" s="43">
        <f>ROUND(PAGE1!$K$71,5)</f>
        <v>0</v>
      </c>
      <c r="C123" s="43">
        <f>ROUND(PAGE1!$M$71,5)</f>
        <v>0</v>
      </c>
    </row>
    <row r="124" spans="1:3">
      <c r="A124" s="146" t="e">
        <f>$C$1&amp;".E30A.REM.UIBUS.OS.LT450.."</f>
        <v>#N/A</v>
      </c>
      <c r="B124" s="43">
        <f>ROUND(PAGE1!$O$71,5)</f>
        <v>0</v>
      </c>
      <c r="C124" s="43">
        <f>ROUND(PAGE1!$Q$71,5)</f>
        <v>0</v>
      </c>
    </row>
    <row r="125" spans="1:3">
      <c r="A125" s="146" t="e">
        <f>$C$1&amp;".E30A.REM.UIBUS.APPR.450TO750.."</f>
        <v>#N/A</v>
      </c>
      <c r="B125" s="43">
        <f>ROUND(PAGE1!$G$72,5)</f>
        <v>0</v>
      </c>
      <c r="C125" s="43">
        <f>ROUND(PAGE1!$I$72,5)</f>
        <v>0</v>
      </c>
    </row>
    <row r="126" spans="1:3">
      <c r="A126" s="146" t="e">
        <f>$C$1&amp;".E30A.REM.UIBUS.DISB.450TO750.."</f>
        <v>#N/A</v>
      </c>
      <c r="B126" s="43">
        <f>ROUND(PAGE1!$K$72,5)</f>
        <v>0</v>
      </c>
      <c r="C126" s="43">
        <f>ROUND(PAGE1!$M$72,5)</f>
        <v>0</v>
      </c>
    </row>
    <row r="127" spans="1:3">
      <c r="A127" s="146" t="e">
        <f>$C$1&amp;".E30A.REM.UIBUS.OS.450TO750.."</f>
        <v>#N/A</v>
      </c>
      <c r="B127" s="43">
        <f>ROUND(PAGE1!$O$72,5)</f>
        <v>0</v>
      </c>
      <c r="C127" s="43">
        <f>ROUND(PAGE1!$Q$72,5)</f>
        <v>0</v>
      </c>
    </row>
    <row r="128" spans="1:3">
      <c r="A128" s="146" t="e">
        <f>$C$1&amp;".E30A.REM.UIBUS.APPR.750TO1000.."</f>
        <v>#N/A</v>
      </c>
      <c r="B128" s="43">
        <f>ROUND(PAGE1!$G$73,5)</f>
        <v>0</v>
      </c>
      <c r="C128" s="43">
        <f>ROUND(PAGE1!$I$73,5)</f>
        <v>0</v>
      </c>
    </row>
    <row r="129" spans="1:3">
      <c r="A129" s="146" t="e">
        <f>$C$1&amp;".E30A.REM.UIBUS.DISB.750TO1000.."</f>
        <v>#N/A</v>
      </c>
      <c r="B129" s="43">
        <f>ROUND(PAGE1!$K$73,5)</f>
        <v>0</v>
      </c>
      <c r="C129" s="43">
        <f>ROUND(PAGE1!$M$73,5)</f>
        <v>0</v>
      </c>
    </row>
    <row r="130" spans="1:3">
      <c r="A130" s="146" t="e">
        <f>$C$1&amp;".E30A.REM.UIBUS.OS.750TO1000.."</f>
        <v>#N/A</v>
      </c>
      <c r="B130" s="43">
        <f>ROUND(PAGE1!$O$73,5)</f>
        <v>0</v>
      </c>
      <c r="C130" s="43">
        <f>ROUND(PAGE1!$Q$73,5)</f>
        <v>0</v>
      </c>
    </row>
    <row r="131" spans="1:3">
      <c r="A131" s="146" t="e">
        <f>$C$1&amp;".E30A.REM.UIBUS.APPR.1000TO1250.."</f>
        <v>#N/A</v>
      </c>
      <c r="B131" s="43">
        <f>ROUND(PAGE1!$G$74,5)</f>
        <v>0</v>
      </c>
      <c r="C131" s="43">
        <f>ROUND(PAGE1!$I$74,5)</f>
        <v>0</v>
      </c>
    </row>
    <row r="132" spans="1:3">
      <c r="A132" s="146" t="e">
        <f>$C$1&amp;".E30A.REM.UIBUS.DISB.1000TO1250.."</f>
        <v>#N/A</v>
      </c>
      <c r="B132" s="43">
        <f>ROUND(PAGE1!$K$74,5)</f>
        <v>0</v>
      </c>
      <c r="C132" s="43">
        <f>ROUND(PAGE1!$M$74,5)</f>
        <v>0</v>
      </c>
    </row>
    <row r="133" spans="1:3">
      <c r="A133" s="146" t="e">
        <f>$C$1&amp;".E30A.REM.UIBUS.OS.1000TO1250.."</f>
        <v>#N/A</v>
      </c>
      <c r="B133" s="43">
        <f>ROUND(PAGE1!$O$74,5)</f>
        <v>0</v>
      </c>
      <c r="C133" s="43">
        <f>ROUND(PAGE1!$Q$74,5)</f>
        <v>0</v>
      </c>
    </row>
    <row r="134" spans="1:3">
      <c r="A134" s="146" t="e">
        <f>$C$1&amp;".E30A.REM.UIBUS.APPR.1250TO1500.."</f>
        <v>#N/A</v>
      </c>
      <c r="B134" s="43">
        <f>ROUND(PAGE1!$G$75,5)</f>
        <v>0</v>
      </c>
      <c r="C134" s="43">
        <f>ROUND(PAGE1!$I$75,5)</f>
        <v>0</v>
      </c>
    </row>
    <row r="135" spans="1:3">
      <c r="A135" s="146" t="e">
        <f>$C$1&amp;".E30A.REM.UIBUS.DISB.1250TO1500.."</f>
        <v>#N/A</v>
      </c>
      <c r="B135" s="43">
        <f>ROUND(PAGE1!$K$75,5)</f>
        <v>0</v>
      </c>
      <c r="C135" s="43">
        <f>ROUND(PAGE1!$M$75,5)</f>
        <v>0</v>
      </c>
    </row>
    <row r="136" spans="1:3">
      <c r="A136" s="146" t="e">
        <f>$C$1&amp;".E30A.REM.UIBUS.OS.1250TO1500.."</f>
        <v>#N/A</v>
      </c>
      <c r="B136" s="43">
        <f>ROUND(PAGE1!$O$75,5)</f>
        <v>0</v>
      </c>
      <c r="C136" s="43">
        <f>ROUND(PAGE1!$Q$75,5)</f>
        <v>0</v>
      </c>
    </row>
    <row r="137" spans="1:3">
      <c r="A137" s="146" t="e">
        <f>$C$1&amp;".E30A.REM.UIBUS.APPR.1500TO1750.."</f>
        <v>#N/A</v>
      </c>
      <c r="B137" s="43">
        <f>ROUND(PAGE1!$G$76,5)</f>
        <v>0</v>
      </c>
      <c r="C137" s="43">
        <f>ROUND(PAGE1!$I$76,5)</f>
        <v>0</v>
      </c>
    </row>
    <row r="138" spans="1:3">
      <c r="A138" s="146" t="e">
        <f>$C$1&amp;".E30A.REM.UIBUS.DISB.1500TO1750.."</f>
        <v>#N/A</v>
      </c>
      <c r="B138" s="43">
        <f>ROUND(PAGE1!$K$76,5)</f>
        <v>0</v>
      </c>
      <c r="C138" s="43">
        <f>ROUND(PAGE1!$M$76,5)</f>
        <v>0</v>
      </c>
    </row>
    <row r="139" spans="1:3">
      <c r="A139" s="146" t="e">
        <f>$C$1&amp;".E30A.REM.UIBUS.OS.1500TO1750.."</f>
        <v>#N/A</v>
      </c>
      <c r="B139" s="43">
        <f>ROUND(PAGE1!$O$76,5)</f>
        <v>0</v>
      </c>
      <c r="C139" s="43">
        <f>ROUND(PAGE1!$Q$76,5)</f>
        <v>0</v>
      </c>
    </row>
    <row r="140" spans="1:3">
      <c r="A140" s="146" t="e">
        <f>$C$1&amp;".E30A.REM.UIBUS.APPR.1750TO2000.."</f>
        <v>#N/A</v>
      </c>
      <c r="B140" s="43">
        <f>ROUND(PAGE1!$G$77,5)</f>
        <v>0</v>
      </c>
      <c r="C140" s="43">
        <f>ROUND(PAGE1!$I$77,5)</f>
        <v>0</v>
      </c>
    </row>
    <row r="141" spans="1:3">
      <c r="A141" s="146" t="e">
        <f>$C$1&amp;".E30A.REM.UIBUS.DISB.1750TO2000.."</f>
        <v>#N/A</v>
      </c>
      <c r="B141" s="43">
        <f>ROUND(PAGE1!$K$77,5)</f>
        <v>0</v>
      </c>
      <c r="C141" s="43">
        <f>ROUND(PAGE1!$M$77,5)</f>
        <v>0</v>
      </c>
    </row>
    <row r="142" spans="1:3">
      <c r="A142" s="146" t="e">
        <f>$C$1&amp;".E30A.REM.UIBUS.OS.1750TO2000.."</f>
        <v>#N/A</v>
      </c>
      <c r="B142" s="43">
        <f>ROUND(PAGE1!$O$77,5)</f>
        <v>0</v>
      </c>
      <c r="C142" s="43">
        <f>ROUND(PAGE1!$Q$77,5)</f>
        <v>0</v>
      </c>
    </row>
    <row r="143" spans="1:3">
      <c r="A143" s="146" t="e">
        <f>$C$1&amp;".E30A.REM.UIBUS.APPR.2000TO2250.."</f>
        <v>#N/A</v>
      </c>
      <c r="B143" s="43">
        <f>ROUND(PAGE1!$G$78,5)</f>
        <v>0</v>
      </c>
      <c r="C143" s="43">
        <f>ROUND(PAGE1!$I$78,5)</f>
        <v>0</v>
      </c>
    </row>
    <row r="144" spans="1:3">
      <c r="A144" s="146" t="e">
        <f>$C$1&amp;".E30A.REM.UIBUS.DISB.2000TO2250.."</f>
        <v>#N/A</v>
      </c>
      <c r="B144" s="43">
        <f>ROUND(PAGE1!$K$78,5)</f>
        <v>0</v>
      </c>
      <c r="C144" s="43">
        <f>ROUND(PAGE1!$M$78,5)</f>
        <v>0</v>
      </c>
    </row>
    <row r="145" spans="1:3">
      <c r="A145" s="146" t="e">
        <f>$C$1&amp;".E30A.REM.UIBUS.OS.2000TO2250.."</f>
        <v>#N/A</v>
      </c>
      <c r="B145" s="43">
        <f>ROUND(PAGE1!$O$78,5)</f>
        <v>0</v>
      </c>
      <c r="C145" s="43">
        <f>ROUND(PAGE1!$Q$78,5)</f>
        <v>0</v>
      </c>
    </row>
    <row r="146" spans="1:3">
      <c r="A146" s="146" t="e">
        <f>$C$1&amp;".E30A.REM.UIBUS.APPR.2250TO2500.."</f>
        <v>#N/A</v>
      </c>
      <c r="B146" s="43">
        <f>ROUND(PAGE1!$G$79,5)</f>
        <v>0</v>
      </c>
      <c r="C146" s="43">
        <f>ROUND(PAGE1!$I$79,5)</f>
        <v>0</v>
      </c>
    </row>
    <row r="147" spans="1:3">
      <c r="A147" s="146" t="e">
        <f>$C$1&amp;".E30A.REM.UIBUS.DISB.2250TO2500.."</f>
        <v>#N/A</v>
      </c>
      <c r="B147" s="43">
        <f>ROUND(PAGE1!$K$79,5)</f>
        <v>0</v>
      </c>
      <c r="C147" s="43">
        <f>ROUND(PAGE1!$M$79,5)</f>
        <v>0</v>
      </c>
    </row>
    <row r="148" spans="1:3">
      <c r="A148" s="146" t="e">
        <f>$C$1&amp;".E30A.REM.UIBUS.OS.2250TO2500.."</f>
        <v>#N/A</v>
      </c>
      <c r="B148" s="43">
        <f>ROUND(PAGE1!$O$79,5)</f>
        <v>0</v>
      </c>
      <c r="C148" s="43">
        <f>ROUND(PAGE1!$Q$79,5)</f>
        <v>0</v>
      </c>
    </row>
    <row r="149" spans="1:3">
      <c r="A149" s="146" t="e">
        <f>$C$1&amp;".E30A.REM.UIBUS.APPR.2500TO2750.."</f>
        <v>#N/A</v>
      </c>
      <c r="B149" s="43">
        <f>ROUND(PAGE1!$G$80,5)</f>
        <v>0</v>
      </c>
      <c r="C149" s="43">
        <f>ROUND(PAGE1!$I$80,5)</f>
        <v>0</v>
      </c>
    </row>
    <row r="150" spans="1:3">
      <c r="A150" s="146" t="e">
        <f>$C$1&amp;".E30A.REM.UIBUS.DISB.2500TO2750.."</f>
        <v>#N/A</v>
      </c>
      <c r="B150" s="43">
        <f>ROUND(PAGE1!$K$80,5)</f>
        <v>0</v>
      </c>
      <c r="C150" s="43">
        <f>ROUND(PAGE1!$M$80,5)</f>
        <v>0</v>
      </c>
    </row>
    <row r="151" spans="1:3">
      <c r="A151" s="146" t="e">
        <f>$C$1&amp;".E30A.REM.UIBUS.OS.2500TO2750.."</f>
        <v>#N/A</v>
      </c>
      <c r="B151" s="43">
        <f>ROUND(PAGE1!$O$80,5)</f>
        <v>0</v>
      </c>
      <c r="C151" s="43">
        <f>ROUND(PAGE1!$Q$80,5)</f>
        <v>0</v>
      </c>
    </row>
    <row r="152" spans="1:3">
      <c r="A152" s="146" t="e">
        <f>$C$1&amp;".E30A.REM.UIBUS.APPR.2750TO3000.."</f>
        <v>#N/A</v>
      </c>
      <c r="B152" s="43">
        <f>ROUND(PAGE1!$G$81,5)</f>
        <v>0</v>
      </c>
      <c r="C152" s="43">
        <f>ROUND(PAGE1!$I$81,5)</f>
        <v>0</v>
      </c>
    </row>
    <row r="153" spans="1:3">
      <c r="A153" s="146" t="e">
        <f>$C$1&amp;".E30A.REM.UIBUS.DISB.2750TO3000.."</f>
        <v>#N/A</v>
      </c>
      <c r="B153" s="43">
        <f>ROUND(PAGE1!$K$81,5)</f>
        <v>0</v>
      </c>
      <c r="C153" s="43">
        <f>ROUND(PAGE1!$M$81,5)</f>
        <v>0</v>
      </c>
    </row>
    <row r="154" spans="1:3">
      <c r="A154" s="146" t="e">
        <f>$C$1&amp;".E30A.REM.UIBUS.OS.2750TO3000.."</f>
        <v>#N/A</v>
      </c>
      <c r="B154" s="43">
        <f>ROUND(PAGE1!$O$81,5)</f>
        <v>0</v>
      </c>
      <c r="C154" s="43">
        <f>ROUND(PAGE1!$Q$81,5)</f>
        <v>0</v>
      </c>
    </row>
    <row r="155" spans="1:3">
      <c r="A155" s="146" t="e">
        <f>$C$1&amp;".E30A.REM.UIBUS.APPR.OVR3000.."</f>
        <v>#N/A</v>
      </c>
      <c r="B155" s="43">
        <f>ROUND(PAGE1!$G$82,5)</f>
        <v>0</v>
      </c>
      <c r="C155" s="43">
        <f>ROUND(PAGE1!$I$82,5)</f>
        <v>0</v>
      </c>
    </row>
    <row r="156" spans="1:3">
      <c r="A156" s="146" t="e">
        <f>$C$1&amp;".E30A.REM.UIBUS.DISB.OVR3000.."</f>
        <v>#N/A</v>
      </c>
      <c r="B156" s="43">
        <f>ROUND(PAGE1!$K$82,5)</f>
        <v>0</v>
      </c>
      <c r="C156" s="43">
        <f>ROUND(PAGE1!$M$82,5)</f>
        <v>0</v>
      </c>
    </row>
    <row r="157" spans="1:3">
      <c r="A157" s="146" t="e">
        <f>$C$1&amp;".E30A.REM.UIBUS.OS.OVR3000.."</f>
        <v>#N/A</v>
      </c>
      <c r="B157" s="43">
        <f>ROUND(PAGE1!$O$82,5)</f>
        <v>0</v>
      </c>
      <c r="C157" s="43">
        <f>ROUND(PAGE1!$Q$82,5)</f>
        <v>0</v>
      </c>
    </row>
    <row r="158" spans="1:3">
      <c r="A158" s="152" t="e">
        <f>$C$1&amp;".E30A.REM.UIBUS.APPR.TTL.."</f>
        <v>#N/A</v>
      </c>
      <c r="B158" s="43">
        <f>ROUND(PAGE1!$G$70,5)</f>
        <v>0</v>
      </c>
      <c r="C158" s="43">
        <f>ROUND(PAGE1!$I$70,5)</f>
        <v>0</v>
      </c>
    </row>
    <row r="159" spans="1:3">
      <c r="A159" s="152" t="e">
        <f>$C$1&amp;".E30A.REM.UIBUS.DISB.TTL.."</f>
        <v>#N/A</v>
      </c>
      <c r="B159" s="43">
        <f>ROUND(PAGE1!$K$70,5)</f>
        <v>0</v>
      </c>
      <c r="C159" s="43">
        <f>ROUND(PAGE1!$M$70,5)</f>
        <v>0</v>
      </c>
    </row>
    <row r="160" spans="1:3">
      <c r="A160" s="152" t="e">
        <f>$C$1&amp;".E30A.REM.UIBUS.OS.TTL.."</f>
        <v>#N/A</v>
      </c>
      <c r="B160" s="43">
        <f>ROUND(PAGE1!$O$70,5)</f>
        <v>0</v>
      </c>
      <c r="C160" s="43">
        <f>ROUND(PAGE1!$Q$70,5)</f>
        <v>0</v>
      </c>
    </row>
    <row r="161" spans="1:3">
      <c r="A161" s="146" t="e">
        <f>$C$1&amp;".E30A.REM.CONSM.APPR.LT450.."</f>
        <v>#N/A</v>
      </c>
      <c r="B161" s="43">
        <f>ROUND(PAGE1!$G$85,5)</f>
        <v>0</v>
      </c>
      <c r="C161" s="43">
        <f>ROUND(PAGE1!$I$85,5)</f>
        <v>0</v>
      </c>
    </row>
    <row r="162" spans="1:3">
      <c r="A162" s="146" t="e">
        <f>$C$1&amp;".E30A.REM.CONSM.DISB.LT450.."</f>
        <v>#N/A</v>
      </c>
      <c r="B162" s="43">
        <f>ROUND(PAGE1!$K$85,5)</f>
        <v>0</v>
      </c>
      <c r="C162" s="43">
        <f>ROUND(PAGE1!$M$85,5)</f>
        <v>0</v>
      </c>
    </row>
    <row r="163" spans="1:3">
      <c r="A163" s="146" t="e">
        <f>$C$1&amp;".E30A.REM.CONSM.OS.LT450.."</f>
        <v>#N/A</v>
      </c>
      <c r="B163" s="43">
        <f>ROUND(PAGE1!$O$85,5)</f>
        <v>0</v>
      </c>
      <c r="C163" s="43">
        <f>ROUND(PAGE1!$Q$85,5)</f>
        <v>0</v>
      </c>
    </row>
    <row r="164" spans="1:3">
      <c r="A164" s="146" t="e">
        <f>$C$1&amp;".E30A.REM.CONSM.APPR.450TO750.."</f>
        <v>#N/A</v>
      </c>
      <c r="B164" s="43">
        <f>ROUND(PAGE1!$G$86,5)</f>
        <v>0</v>
      </c>
      <c r="C164" s="43">
        <f>ROUND(PAGE1!$I$86,5)</f>
        <v>0</v>
      </c>
    </row>
    <row r="165" spans="1:3">
      <c r="A165" s="146" t="e">
        <f>$C$1&amp;".E30A.REM.CONSM.DISB.450TO750.."</f>
        <v>#N/A</v>
      </c>
      <c r="B165" s="43">
        <f>ROUND(PAGE1!$K$86,5)</f>
        <v>0</v>
      </c>
      <c r="C165" s="43">
        <f>ROUND(PAGE1!$M$86,5)</f>
        <v>0</v>
      </c>
    </row>
    <row r="166" spans="1:3">
      <c r="A166" s="146" t="e">
        <f>$C$1&amp;".E30A.REM.CONSM.OS.450TO750.."</f>
        <v>#N/A</v>
      </c>
      <c r="B166" s="43">
        <f>ROUND(PAGE1!$O$86,5)</f>
        <v>0</v>
      </c>
      <c r="C166" s="43">
        <f>ROUND(PAGE1!$Q$86,5)</f>
        <v>0</v>
      </c>
    </row>
    <row r="167" spans="1:3">
      <c r="A167" s="146" t="e">
        <f>$C$1&amp;".E30A.REM.CONSM.APPR.750TO1000.."</f>
        <v>#N/A</v>
      </c>
      <c r="B167" s="43">
        <f>ROUND(PAGE1!$G$87,5)</f>
        <v>0</v>
      </c>
      <c r="C167" s="43">
        <f>ROUND(PAGE1!$I$87,5)</f>
        <v>0</v>
      </c>
    </row>
    <row r="168" spans="1:3">
      <c r="A168" s="146" t="e">
        <f>$C$1&amp;".E30A.REM.CONSM.DISB.750TO1000.."</f>
        <v>#N/A</v>
      </c>
      <c r="B168" s="43">
        <f>ROUND(PAGE1!$K$87,5)</f>
        <v>0</v>
      </c>
      <c r="C168" s="43">
        <f>ROUND(PAGE1!$M$87,5)</f>
        <v>0</v>
      </c>
    </row>
    <row r="169" spans="1:3">
      <c r="A169" s="146" t="e">
        <f>$C$1&amp;".E30A.REM.CONSM.OS.750TO1000.."</f>
        <v>#N/A</v>
      </c>
      <c r="B169" s="43">
        <f>ROUND(PAGE1!$O$87,5)</f>
        <v>0</v>
      </c>
      <c r="C169" s="43">
        <f>ROUND(PAGE1!$Q$87,5)</f>
        <v>0</v>
      </c>
    </row>
    <row r="170" spans="1:3">
      <c r="A170" s="146" t="e">
        <f>$C$1&amp;".E30A.REM.CONSM.APPR.1000TO1250.."</f>
        <v>#N/A</v>
      </c>
      <c r="B170" s="43">
        <f>ROUND(PAGE1!$G$88,5)</f>
        <v>0</v>
      </c>
      <c r="C170" s="43">
        <f>ROUND(PAGE1!$I$88,5)</f>
        <v>0</v>
      </c>
    </row>
    <row r="171" spans="1:3">
      <c r="A171" s="146" t="e">
        <f>$C$1&amp;".E30A.REM.CONSM.DISB.1000TO1250.."</f>
        <v>#N/A</v>
      </c>
      <c r="B171" s="43">
        <f>ROUND(PAGE1!$K$88,5)</f>
        <v>0</v>
      </c>
      <c r="C171" s="43">
        <f>ROUND(PAGE1!$M$88,5)</f>
        <v>0</v>
      </c>
    </row>
    <row r="172" spans="1:3">
      <c r="A172" s="146" t="e">
        <f>$C$1&amp;".E30A.REM.CONSM.OS.1000TO1250.."</f>
        <v>#N/A</v>
      </c>
      <c r="B172" s="43">
        <f>ROUND(PAGE1!$O$88,5)</f>
        <v>0</v>
      </c>
      <c r="C172" s="43">
        <f>ROUND(PAGE1!$Q$88,5)</f>
        <v>0</v>
      </c>
    </row>
    <row r="173" spans="1:3">
      <c r="A173" s="146" t="e">
        <f>$C$1&amp;".E30A.REM.CONSM.APPR.1250TO1500.."</f>
        <v>#N/A</v>
      </c>
      <c r="B173" s="43">
        <f>ROUND(PAGE1!$G$89,5)</f>
        <v>0</v>
      </c>
      <c r="C173" s="43">
        <f>ROUND(PAGE1!$I$89,5)</f>
        <v>0</v>
      </c>
    </row>
    <row r="174" spans="1:3">
      <c r="A174" s="146" t="e">
        <f>$C$1&amp;".E30A.REM.CONSM.DISB.1250TO1500.."</f>
        <v>#N/A</v>
      </c>
      <c r="B174" s="43">
        <f>ROUND(PAGE1!$K$89,5)</f>
        <v>0</v>
      </c>
      <c r="C174" s="43">
        <f>ROUND(PAGE1!$M$89,5)</f>
        <v>0</v>
      </c>
    </row>
    <row r="175" spans="1:3">
      <c r="A175" s="146" t="e">
        <f>$C$1&amp;".E30A.REM.CONSM.OS.1250TO1500.."</f>
        <v>#N/A</v>
      </c>
      <c r="B175" s="43">
        <f>ROUND(PAGE1!$O$89,5)</f>
        <v>0</v>
      </c>
      <c r="C175" s="43">
        <f>ROUND(PAGE1!$Q$89,5)</f>
        <v>0</v>
      </c>
    </row>
    <row r="176" spans="1:3">
      <c r="A176" s="146" t="e">
        <f>$C$1&amp;".E30A.REM.CONSM.APPR.1500TO1750.."</f>
        <v>#N/A</v>
      </c>
      <c r="B176" s="43">
        <f>ROUND(PAGE1!$G$90,5)</f>
        <v>0</v>
      </c>
      <c r="C176" s="43">
        <f>ROUND(PAGE1!$I$90,5)</f>
        <v>0</v>
      </c>
    </row>
    <row r="177" spans="1:3">
      <c r="A177" s="146" t="e">
        <f>$C$1&amp;".E30A.REM.CONSM.DISB.1500TO1750.."</f>
        <v>#N/A</v>
      </c>
      <c r="B177" s="43">
        <f>ROUND(PAGE1!$K$90,5)</f>
        <v>0</v>
      </c>
      <c r="C177" s="43">
        <f>ROUND(PAGE1!$M$90,5)</f>
        <v>0</v>
      </c>
    </row>
    <row r="178" spans="1:3">
      <c r="A178" s="146" t="e">
        <f>$C$1&amp;".E30A.REM.CONSM.OS.1500TO1750.."</f>
        <v>#N/A</v>
      </c>
      <c r="B178" s="43">
        <f>ROUND(PAGE1!$O$90,5)</f>
        <v>0</v>
      </c>
      <c r="C178" s="43">
        <f>ROUND(PAGE1!$Q$90,5)</f>
        <v>0</v>
      </c>
    </row>
    <row r="179" spans="1:3">
      <c r="A179" s="146" t="e">
        <f>$C$1&amp;".E30A.REM.CONSM.APPR.1750TO2000.."</f>
        <v>#N/A</v>
      </c>
      <c r="B179" s="43">
        <f>ROUND(PAGE1!$G$91,5)</f>
        <v>0</v>
      </c>
      <c r="C179" s="43">
        <f>ROUND(PAGE1!$I$91,5)</f>
        <v>0</v>
      </c>
    </row>
    <row r="180" spans="1:3">
      <c r="A180" s="146" t="e">
        <f>$C$1&amp;".E30A.REM.CONSM.DISB.1750TO2000.."</f>
        <v>#N/A</v>
      </c>
      <c r="B180" s="43">
        <f>ROUND(PAGE1!$K$91,5)</f>
        <v>0</v>
      </c>
      <c r="C180" s="43">
        <f>ROUND(PAGE1!$M$91,5)</f>
        <v>0</v>
      </c>
    </row>
    <row r="181" spans="1:3">
      <c r="A181" s="146" t="e">
        <f>$C$1&amp;".E30A.REM.CONSM.OS.1750TO2000.."</f>
        <v>#N/A</v>
      </c>
      <c r="B181" s="43">
        <f>ROUND(PAGE1!$O$91,5)</f>
        <v>0</v>
      </c>
      <c r="C181" s="43">
        <f>ROUND(PAGE1!$Q$91,5)</f>
        <v>0</v>
      </c>
    </row>
    <row r="182" spans="1:3">
      <c r="A182" s="146" t="e">
        <f>$C$1&amp;".E30A.REM.CONSM.APPR.2000TO2250.."</f>
        <v>#N/A</v>
      </c>
      <c r="B182" s="43">
        <f>ROUND(PAGE1!$G$92,5)</f>
        <v>0</v>
      </c>
      <c r="C182" s="43">
        <f>ROUND(PAGE1!$I$92,5)</f>
        <v>0</v>
      </c>
    </row>
    <row r="183" spans="1:3">
      <c r="A183" s="146" t="e">
        <f>$C$1&amp;".E30A.REM.CONSM.DISB.2000TO2250.."</f>
        <v>#N/A</v>
      </c>
      <c r="B183" s="43">
        <f>ROUND(PAGE1!$K$92,5)</f>
        <v>0</v>
      </c>
      <c r="C183" s="43">
        <f>ROUND(PAGE1!$M$92,5)</f>
        <v>0</v>
      </c>
    </row>
    <row r="184" spans="1:3">
      <c r="A184" s="146" t="e">
        <f>$C$1&amp;".E30A.REM.CONSM.OS.2000TO2250.."</f>
        <v>#N/A</v>
      </c>
      <c r="B184" s="43">
        <f>ROUND(PAGE1!$O$92,5)</f>
        <v>0</v>
      </c>
      <c r="C184" s="43">
        <f>ROUND(PAGE1!$Q$92,5)</f>
        <v>0</v>
      </c>
    </row>
    <row r="185" spans="1:3">
      <c r="A185" s="146" t="e">
        <f>$C$1&amp;".E30A.REM.CONSM.APPR.2250TO2500.."</f>
        <v>#N/A</v>
      </c>
      <c r="B185" s="43">
        <f>ROUND(PAGE1!$G$93,5)</f>
        <v>0</v>
      </c>
      <c r="C185" s="43">
        <f>ROUND(PAGE1!$I$93,5)</f>
        <v>0</v>
      </c>
    </row>
    <row r="186" spans="1:3">
      <c r="A186" s="146" t="e">
        <f>$C$1&amp;".E30A.REM.CONSM.DISB.2250TO2500.."</f>
        <v>#N/A</v>
      </c>
      <c r="B186" s="43">
        <f>ROUND(PAGE1!$K$93,5)</f>
        <v>0</v>
      </c>
      <c r="C186" s="43">
        <f>ROUND(PAGE1!$M$93,5)</f>
        <v>0</v>
      </c>
    </row>
    <row r="187" spans="1:3">
      <c r="A187" s="146" t="e">
        <f>$C$1&amp;".E30A.REM.CONSM.OS.2250TO2500.."</f>
        <v>#N/A</v>
      </c>
      <c r="B187" s="43">
        <f>ROUND(PAGE1!$O$93,5)</f>
        <v>0</v>
      </c>
      <c r="C187" s="43">
        <f>ROUND(PAGE1!$Q$93,5)</f>
        <v>0</v>
      </c>
    </row>
    <row r="188" spans="1:3">
      <c r="A188" s="146" t="e">
        <f>$C$1&amp;".E30A.REM.CONSM.APPR.2500TO2750.."</f>
        <v>#N/A</v>
      </c>
      <c r="B188" s="43">
        <f>ROUND(PAGE1!$G$94,5)</f>
        <v>0</v>
      </c>
      <c r="C188" s="43">
        <f>ROUND(PAGE1!$I$94,5)</f>
        <v>0</v>
      </c>
    </row>
    <row r="189" spans="1:3">
      <c r="A189" s="146" t="e">
        <f>$C$1&amp;".E30A.REM.CONSM.DISB.2500TO2750.."</f>
        <v>#N/A</v>
      </c>
      <c r="B189" s="43">
        <f>ROUND(PAGE1!$K$94,5)</f>
        <v>0</v>
      </c>
      <c r="C189" s="43">
        <f>ROUND(PAGE1!$M$94,5)</f>
        <v>0</v>
      </c>
    </row>
    <row r="190" spans="1:3">
      <c r="A190" s="146" t="e">
        <f>$C$1&amp;".E30A.REM.CONSM.OS.2500TO2750.."</f>
        <v>#N/A</v>
      </c>
      <c r="B190" s="43">
        <f>ROUND(PAGE1!$O$94,5)</f>
        <v>0</v>
      </c>
      <c r="C190" s="43">
        <f>ROUND(PAGE1!$Q$94,5)</f>
        <v>0</v>
      </c>
    </row>
    <row r="191" spans="1:3">
      <c r="A191" s="146" t="e">
        <f>$C$1&amp;".E30A.REM.CONSM.APPR.2750TO3000.."</f>
        <v>#N/A</v>
      </c>
      <c r="B191" s="43">
        <f>ROUND(PAGE1!$G$95,5)</f>
        <v>0</v>
      </c>
      <c r="C191" s="43">
        <f>ROUND(PAGE1!$I$95,5)</f>
        <v>0</v>
      </c>
    </row>
    <row r="192" spans="1:3">
      <c r="A192" s="146" t="e">
        <f>$C$1&amp;".E30A.REM.CONSM.DISB.2750TO3000.."</f>
        <v>#N/A</v>
      </c>
      <c r="B192" s="43">
        <f>ROUND(PAGE1!$K$95,5)</f>
        <v>0</v>
      </c>
      <c r="C192" s="43">
        <f>ROUND(PAGE1!$M$95,5)</f>
        <v>0</v>
      </c>
    </row>
    <row r="193" spans="1:3">
      <c r="A193" s="146" t="e">
        <f>$C$1&amp;".E30A.REM.CONSM.OS.2750TO3000.."</f>
        <v>#N/A</v>
      </c>
      <c r="B193" s="43">
        <f>ROUND(PAGE1!$O$95,5)</f>
        <v>0</v>
      </c>
      <c r="C193" s="43">
        <f>ROUND(PAGE1!$Q$95,5)</f>
        <v>0</v>
      </c>
    </row>
    <row r="194" spans="1:3">
      <c r="A194" s="146" t="e">
        <f>$C$1&amp;".E30A.REM.CONSM.APPR.OVR3000.."</f>
        <v>#N/A</v>
      </c>
      <c r="B194" s="43">
        <f>ROUND(PAGE1!$G$96,5)</f>
        <v>0</v>
      </c>
      <c r="C194" s="43">
        <f>ROUND(PAGE1!$I$96,5)</f>
        <v>0</v>
      </c>
    </row>
    <row r="195" spans="1:3">
      <c r="A195" s="146" t="e">
        <f>$C$1&amp;".E30A.REM.CONSM.DISB.OVR3000.."</f>
        <v>#N/A</v>
      </c>
      <c r="B195" s="43">
        <f>ROUND(PAGE1!$K$96,5)</f>
        <v>0</v>
      </c>
      <c r="C195" s="43">
        <f>ROUND(PAGE1!$M$96,5)</f>
        <v>0</v>
      </c>
    </row>
    <row r="196" spans="1:3">
      <c r="A196" s="146" t="e">
        <f>$C$1&amp;".E30A.REM.CONSM.OS.OVR3000.."</f>
        <v>#N/A</v>
      </c>
      <c r="B196" s="43">
        <f>ROUND(PAGE1!$O$96,5)</f>
        <v>0</v>
      </c>
      <c r="C196" s="43">
        <f>ROUND(PAGE1!$Q$96,5)</f>
        <v>0</v>
      </c>
    </row>
    <row r="197" spans="1:3">
      <c r="A197" s="152" t="e">
        <f>$C$1&amp;".E30A.REM.CONSM.APPR.TTL.."</f>
        <v>#N/A</v>
      </c>
      <c r="B197" s="43">
        <f>ROUND(PAGE1!$G$84,5)</f>
        <v>0</v>
      </c>
      <c r="C197" s="43">
        <f>ROUND(PAGE1!$I$84,5)</f>
        <v>0</v>
      </c>
    </row>
    <row r="198" spans="1:3">
      <c r="A198" s="152" t="e">
        <f>$C$1&amp;".E30A.REM.CONSM.DISB.TTL.."</f>
        <v>#N/A</v>
      </c>
      <c r="B198" s="43">
        <f>ROUND(PAGE1!$K$84,5)</f>
        <v>0</v>
      </c>
      <c r="C198" s="43">
        <f>ROUND(PAGE1!$M$84,5)</f>
        <v>0</v>
      </c>
    </row>
    <row r="199" spans="1:3">
      <c r="A199" s="152" t="e">
        <f>$C$1&amp;".E30A.REM.CONSM.OS.TTL.."</f>
        <v>#N/A</v>
      </c>
      <c r="B199" s="43">
        <f>ROUND(PAGE1!$O$84,5)</f>
        <v>0</v>
      </c>
      <c r="C199" s="43">
        <f>ROUND(PAGE1!$Q$84,5)</f>
        <v>0</v>
      </c>
    </row>
    <row r="200" spans="1:3">
      <c r="A200" s="152" t="e">
        <f>$C$1&amp;".E30A.REM.APPR.AGG_TTL..."</f>
        <v>#N/A</v>
      </c>
      <c r="B200" s="43">
        <f>ROUND(PAGE1!$G$98,5)</f>
        <v>0</v>
      </c>
      <c r="C200" s="43">
        <f>ROUND(PAGE1!$I$98,5)</f>
        <v>0</v>
      </c>
    </row>
    <row r="201" spans="1:3">
      <c r="A201" s="152" t="e">
        <f>$C$1&amp;".E30A.REM.DISB.AGG_TTL..."</f>
        <v>#N/A</v>
      </c>
      <c r="B201" s="43">
        <f>ROUND(PAGE1!$K$98,5)</f>
        <v>0</v>
      </c>
      <c r="C201" s="43">
        <f>ROUND(PAGE1!$M$98,5)</f>
        <v>0</v>
      </c>
    </row>
    <row r="202" spans="1:3">
      <c r="A202" s="152" t="e">
        <f>$C$1&amp;".E30A.REM.OS.AGG_TTL..."</f>
        <v>#N/A</v>
      </c>
      <c r="B202" s="43">
        <f>ROUND(PAGE1!$O$98,5)</f>
        <v>0</v>
      </c>
      <c r="C202" s="43">
        <f>ROUND(PAGE1!$Q$98,5)</f>
        <v>0</v>
      </c>
    </row>
    <row r="203" spans="1:3" ht="12" customHeight="1">
      <c r="A203" s="153" t="s">
        <v>160</v>
      </c>
      <c r="B203" s="43" t="s">
        <v>115</v>
      </c>
      <c r="C203" s="43" t="s">
        <v>116</v>
      </c>
    </row>
    <row r="204" spans="1:3">
      <c r="A204" s="146" t="e">
        <f>$C$1&amp;".E30A.REM.PBSEC._INT.0_3_PERCT.APPR."</f>
        <v>#N/A</v>
      </c>
      <c r="B204" s="43">
        <f>ROUND(PAGE2!$G$21,5)</f>
        <v>0</v>
      </c>
      <c r="C204" s="43">
        <f>ROUND(PAGE2!$I$21,5)</f>
        <v>0</v>
      </c>
    </row>
    <row r="205" spans="1:3">
      <c r="A205" s="146" t="e">
        <f>$C$1&amp;".E30A.REM.PBSEC._INT.0_3_PERCT.OS."</f>
        <v>#N/A</v>
      </c>
      <c r="B205" s="43">
        <f>ROUND(PAGE2!$L$21,5)</f>
        <v>0</v>
      </c>
      <c r="C205" s="43">
        <f>ROUND(PAGE2!$N$21,5)</f>
        <v>0</v>
      </c>
    </row>
    <row r="206" spans="1:3">
      <c r="A206" s="146" t="e">
        <f>$C$1&amp;".E30A.REM.PBSEC._INT.3.1_4_PERCT.APPR."</f>
        <v>#N/A</v>
      </c>
      <c r="B206" s="43">
        <f>ROUND(PAGE2!$G$22,5)</f>
        <v>0</v>
      </c>
      <c r="C206" s="43">
        <f>ROUND(PAGE2!$I$22,5)</f>
        <v>0</v>
      </c>
    </row>
    <row r="207" spans="1:3">
      <c r="A207" s="146" t="e">
        <f>$C$1&amp;".E30A.REM.PBSEC._INT.3.1_4_PERCT.OS."</f>
        <v>#N/A</v>
      </c>
      <c r="B207" s="43">
        <f>ROUND(PAGE2!$L$22,5)</f>
        <v>0</v>
      </c>
      <c r="C207" s="43">
        <f>ROUND(PAGE2!$N$22,5)</f>
        <v>0</v>
      </c>
    </row>
    <row r="208" spans="1:3">
      <c r="A208" s="146" t="e">
        <f>$C$1&amp;".E30A.REM.PBSEC._INT.4.1_5_PERCT.APPR."</f>
        <v>#N/A</v>
      </c>
      <c r="B208" s="43">
        <f>ROUND(PAGE2!$G$23,5)</f>
        <v>0</v>
      </c>
      <c r="C208" s="43">
        <f>ROUND(PAGE2!$I$23,5)</f>
        <v>0</v>
      </c>
    </row>
    <row r="209" spans="1:3">
      <c r="A209" s="146" t="e">
        <f>$C$1&amp;".E30A.REM.PBSEC._INT.4.1_5_PERCT.OS."</f>
        <v>#N/A</v>
      </c>
      <c r="B209" s="43">
        <f>ROUND(PAGE2!$L$23,5)</f>
        <v>0</v>
      </c>
      <c r="C209" s="43">
        <f>ROUND(PAGE2!$N$23,5)</f>
        <v>0</v>
      </c>
    </row>
    <row r="210" spans="1:3">
      <c r="A210" s="146" t="e">
        <f>$C$1&amp;".E30A.REM.PBSEC._INT.5.1_6_PERCT.APPR."</f>
        <v>#N/A</v>
      </c>
      <c r="B210" s="43">
        <f>ROUND(PAGE2!$G$24,5)</f>
        <v>0</v>
      </c>
      <c r="C210" s="43">
        <f>ROUND(PAGE2!$I$24,5)</f>
        <v>0</v>
      </c>
    </row>
    <row r="211" spans="1:3">
      <c r="A211" s="146" t="e">
        <f>$C$1&amp;".E30A.REM.PBSEC._INT.5.1_6_PERCT.OS."</f>
        <v>#N/A</v>
      </c>
      <c r="B211" s="43">
        <f>ROUND(PAGE2!$L$24,5)</f>
        <v>0</v>
      </c>
      <c r="C211" s="43">
        <f>ROUND(PAGE2!$N$24,5)</f>
        <v>0</v>
      </c>
    </row>
    <row r="212" spans="1:3">
      <c r="A212" s="146" t="e">
        <f>$C$1&amp;".E30A.REM.PBSEC._INT.6.1_7_PERCT.APPR."</f>
        <v>#N/A</v>
      </c>
      <c r="B212" s="43">
        <f>ROUND(PAGE2!$G$25,5)</f>
        <v>0</v>
      </c>
      <c r="C212" s="43">
        <f>ROUND(PAGE2!$I$25,5)</f>
        <v>0</v>
      </c>
    </row>
    <row r="213" spans="1:3">
      <c r="A213" s="146" t="e">
        <f>$C$1&amp;".E30A.REM.PBSEC._INT.6.1_7_PERCT.OS."</f>
        <v>#N/A</v>
      </c>
      <c r="B213" s="43">
        <f>ROUND(PAGE2!$L$25,5)</f>
        <v>0</v>
      </c>
      <c r="C213" s="43">
        <f>ROUND(PAGE2!$N$25,5)</f>
        <v>0</v>
      </c>
    </row>
    <row r="214" spans="1:3">
      <c r="A214" s="146" t="e">
        <f>$C$1&amp;".E30A.REM.PBSEC._INT.7.1_8_PERCT.APPR."</f>
        <v>#N/A</v>
      </c>
      <c r="B214" s="43">
        <f>ROUND(PAGE2!$G$26,5)</f>
        <v>0</v>
      </c>
      <c r="C214" s="43">
        <f>ROUND(PAGE2!$I$26,5)</f>
        <v>0</v>
      </c>
    </row>
    <row r="215" spans="1:3">
      <c r="A215" s="146" t="e">
        <f>$C$1&amp;".E30A.REM.PBSEC._INT.7.1_8_PERCT.OS."</f>
        <v>#N/A</v>
      </c>
      <c r="B215" s="43">
        <f>ROUND(PAGE2!$L$26,5)</f>
        <v>0</v>
      </c>
      <c r="C215" s="43">
        <f>ROUND(PAGE2!$N$26,5)</f>
        <v>0</v>
      </c>
    </row>
    <row r="216" spans="1:3">
      <c r="A216" s="146" t="e">
        <f>$C$1&amp;".E30A.REM.PBSEC._INT.8.1_9_PERCT.APPR."</f>
        <v>#N/A</v>
      </c>
      <c r="B216" s="43">
        <f>ROUND(PAGE2!$G$27,5)</f>
        <v>0</v>
      </c>
      <c r="C216" s="43">
        <f>ROUND(PAGE2!$I$27,5)</f>
        <v>0</v>
      </c>
    </row>
    <row r="217" spans="1:3">
      <c r="A217" s="146" t="e">
        <f>$C$1&amp;".E30A.REM.PBSEC._INT.8.1_9_PERCT.OS."</f>
        <v>#N/A</v>
      </c>
      <c r="B217" s="43">
        <f>ROUND(PAGE2!$L$27,5)</f>
        <v>0</v>
      </c>
      <c r="C217" s="43">
        <f>ROUND(PAGE2!$N$27,5)</f>
        <v>0</v>
      </c>
    </row>
    <row r="218" spans="1:3">
      <c r="A218" s="146" t="e">
        <f>$C$1&amp;".E30A.REM.PBSEC._INT.9.1_10_PERCT.APPR."</f>
        <v>#N/A</v>
      </c>
      <c r="B218" s="43">
        <f>ROUND(PAGE2!$G$28,5)</f>
        <v>0</v>
      </c>
      <c r="C218" s="43">
        <f>ROUND(PAGE2!$I$28,5)</f>
        <v>0</v>
      </c>
    </row>
    <row r="219" spans="1:3">
      <c r="A219" s="146" t="e">
        <f>$C$1&amp;".E30A.REM.PBSEC._INT.9.1_10_PERCT.OS."</f>
        <v>#N/A</v>
      </c>
      <c r="B219" s="43">
        <f>ROUND(PAGE2!$L$28,5)</f>
        <v>0</v>
      </c>
      <c r="C219" s="43">
        <f>ROUND(PAGE2!$N$28,5)</f>
        <v>0</v>
      </c>
    </row>
    <row r="220" spans="1:3">
      <c r="A220" s="146" t="e">
        <f>$C$1&amp;".E30A.REM.PBSEC._INT.10.1_11_PERCT.APPR."</f>
        <v>#N/A</v>
      </c>
      <c r="B220" s="43">
        <f>ROUND(PAGE2!$G$29,5)</f>
        <v>0</v>
      </c>
      <c r="C220" s="43">
        <f>ROUND(PAGE2!$I$29,5)</f>
        <v>0</v>
      </c>
    </row>
    <row r="221" spans="1:3">
      <c r="A221" s="146" t="e">
        <f>$C$1&amp;".E30A.REM.PBSEC._INT.10.1_11_PERCT.OS."</f>
        <v>#N/A</v>
      </c>
      <c r="B221" s="43">
        <f>ROUND(PAGE2!$L$29,5)</f>
        <v>0</v>
      </c>
      <c r="C221" s="43">
        <f>ROUND(PAGE2!$N$29,5)</f>
        <v>0</v>
      </c>
    </row>
    <row r="222" spans="1:3">
      <c r="A222" s="146" t="e">
        <f>$C$1&amp;".E30A.REM.PBSEC._INT.11.1_12_PERCT.APPR."</f>
        <v>#N/A</v>
      </c>
      <c r="B222" s="43">
        <f>ROUND(PAGE2!$G$30,5)</f>
        <v>0</v>
      </c>
      <c r="C222" s="43">
        <f>ROUND(PAGE2!$I$30,5)</f>
        <v>0</v>
      </c>
    </row>
    <row r="223" spans="1:3">
      <c r="A223" s="146" t="e">
        <f>$C$1&amp;".E30A.REM.PBSEC._INT.11.1_12_PERCT.OS."</f>
        <v>#N/A</v>
      </c>
      <c r="B223" s="43">
        <f>ROUND(PAGE2!$L$30,5)</f>
        <v>0</v>
      </c>
      <c r="C223" s="43">
        <f>ROUND(PAGE2!$N$30,5)</f>
        <v>0</v>
      </c>
    </row>
    <row r="224" spans="1:3">
      <c r="A224" s="146" t="e">
        <f>$C$1&amp;".E30A.REM.PBSEC._INT.12.1_13_PERCT.APPR."</f>
        <v>#N/A</v>
      </c>
      <c r="B224" s="43">
        <f>ROUND(PAGE2!$G$31,5)</f>
        <v>0</v>
      </c>
      <c r="C224" s="43">
        <f>ROUND(PAGE2!$I$31,5)</f>
        <v>0</v>
      </c>
    </row>
    <row r="225" spans="1:3">
      <c r="A225" s="146" t="e">
        <f>$C$1&amp;".E30A.REM.PBSEC._INT.12.1_13_PERCT.OS."</f>
        <v>#N/A</v>
      </c>
      <c r="B225" s="43">
        <f>ROUND(PAGE2!$L$31,5)</f>
        <v>0</v>
      </c>
      <c r="C225" s="43">
        <f>ROUND(PAGE2!$N$31,5)</f>
        <v>0</v>
      </c>
    </row>
    <row r="226" spans="1:3">
      <c r="A226" s="146" t="e">
        <f>$C$1&amp;".E30A.REM.PBSEC._INT.13.1_14_PERCT.APPR."</f>
        <v>#N/A</v>
      </c>
      <c r="B226" s="43">
        <f>ROUND(PAGE2!$G$32,5)</f>
        <v>0</v>
      </c>
      <c r="C226" s="43">
        <f>ROUND(PAGE2!$I$32,5)</f>
        <v>0</v>
      </c>
    </row>
    <row r="227" spans="1:3">
      <c r="A227" s="146" t="e">
        <f>$C$1&amp;".E30A.REM.PBSEC._INT.13.1_14_PERCT.OS."</f>
        <v>#N/A</v>
      </c>
      <c r="B227" s="43">
        <f>ROUND(PAGE2!$L$32,5)</f>
        <v>0</v>
      </c>
      <c r="C227" s="43">
        <f>ROUND(PAGE2!$N$32,5)</f>
        <v>0</v>
      </c>
    </row>
    <row r="228" spans="1:3">
      <c r="A228" s="146" t="e">
        <f>$C$1&amp;".E30A.REM.PBSEC._INT.14.1_15_PERCT.APPR."</f>
        <v>#N/A</v>
      </c>
      <c r="B228" s="43">
        <f>ROUND(PAGE2!$G$33,5)</f>
        <v>0</v>
      </c>
      <c r="C228" s="43">
        <f>ROUND(PAGE2!$I$33,5)</f>
        <v>0</v>
      </c>
    </row>
    <row r="229" spans="1:3">
      <c r="A229" s="146" t="e">
        <f>$C$1&amp;".E30A.REM.PBSEC._INT.14.1_15_PERCT.OS."</f>
        <v>#N/A</v>
      </c>
      <c r="B229" s="43">
        <f>ROUND(PAGE2!$L$33,5)</f>
        <v>0</v>
      </c>
      <c r="C229" s="43">
        <f>ROUND(PAGE2!$N$33,5)</f>
        <v>0</v>
      </c>
    </row>
    <row r="230" spans="1:3">
      <c r="A230" s="146" t="e">
        <f>$C$1&amp;".E30A.REM.PBSEC._INT.OVR_15_PERCT.APPR."</f>
        <v>#N/A</v>
      </c>
      <c r="B230" s="43">
        <f>ROUND(PAGE2!$G$34,5)</f>
        <v>0</v>
      </c>
      <c r="C230" s="43">
        <f>ROUND(PAGE2!$I$34,5)</f>
        <v>0</v>
      </c>
    </row>
    <row r="231" spans="1:3">
      <c r="A231" s="146" t="e">
        <f>$C$1&amp;".E30A.REM.PBSEC._INT.OVR_15_PERCT.OS."</f>
        <v>#N/A</v>
      </c>
      <c r="B231" s="43">
        <f>ROUND(PAGE2!$L$34,5)</f>
        <v>0</v>
      </c>
      <c r="C231" s="43">
        <f>ROUND(PAGE2!$N$34,5)</f>
        <v>0</v>
      </c>
    </row>
    <row r="232" spans="1:3">
      <c r="A232" s="146" t="e">
        <f>$C$1&amp;".E30A.REM.PVFIN._INT.0_3_PERCT.APPR."</f>
        <v>#N/A</v>
      </c>
      <c r="B232" s="43">
        <f>ROUND(PAGE2!$G$39,5)</f>
        <v>0</v>
      </c>
      <c r="C232" s="43">
        <f>ROUND(PAGE2!$I$39,5)</f>
        <v>0</v>
      </c>
    </row>
    <row r="233" spans="1:3">
      <c r="A233" s="146" t="e">
        <f>$C$1&amp;".E30A.REM.PVFIN._INT.0_3_PERCT.OS."</f>
        <v>#N/A</v>
      </c>
      <c r="B233" s="43">
        <f>ROUND(PAGE2!$L$39,5)</f>
        <v>0</v>
      </c>
      <c r="C233" s="43">
        <f>ROUND(PAGE2!$N$39,5)</f>
        <v>0</v>
      </c>
    </row>
    <row r="234" spans="1:3">
      <c r="A234" s="146" t="e">
        <f>$C$1&amp;".E30A.REM.PVFIN._INT.3.1_4_PERCT.APPR."</f>
        <v>#N/A</v>
      </c>
      <c r="B234" s="43">
        <f>ROUND(PAGE2!$G$40,5)</f>
        <v>0</v>
      </c>
      <c r="C234" s="43">
        <f>ROUND(PAGE2!$I$40,5)</f>
        <v>0</v>
      </c>
    </row>
    <row r="235" spans="1:3">
      <c r="A235" s="146" t="e">
        <f>$C$1&amp;".E30A.REM.PVFIN._INT.3.1_4_PERCT.OS."</f>
        <v>#N/A</v>
      </c>
      <c r="B235" s="43">
        <f>ROUND(PAGE2!$L$40,5)</f>
        <v>0</v>
      </c>
      <c r="C235" s="43">
        <f>ROUND(PAGE2!$N$40,5)</f>
        <v>0</v>
      </c>
    </row>
    <row r="236" spans="1:3">
      <c r="A236" s="146" t="e">
        <f>$C$1&amp;".E30A.REM.PVFIN._INT.4.1_5_PERCT.APPR."</f>
        <v>#N/A</v>
      </c>
      <c r="B236" s="43">
        <f>ROUND(PAGE2!$G$41,5)</f>
        <v>0</v>
      </c>
      <c r="C236" s="43">
        <f>ROUND(PAGE2!$I$41,5)</f>
        <v>0</v>
      </c>
    </row>
    <row r="237" spans="1:3">
      <c r="A237" s="146" t="e">
        <f>$C$1&amp;".E30A.REM.PVFIN._INT.4.1_5_PERCT.OS."</f>
        <v>#N/A</v>
      </c>
      <c r="B237" s="43">
        <f>ROUND(PAGE2!$L$41,5)</f>
        <v>0</v>
      </c>
      <c r="C237" s="43">
        <f>ROUND(PAGE2!$N$41,5)</f>
        <v>0</v>
      </c>
    </row>
    <row r="238" spans="1:3">
      <c r="A238" s="146" t="e">
        <f>$C$1&amp;".E30A.REM.PVFIN._INT.5.1_6_PERCT.APPR."</f>
        <v>#N/A</v>
      </c>
      <c r="B238" s="43">
        <f>ROUND(PAGE2!$G$42,5)</f>
        <v>0</v>
      </c>
      <c r="C238" s="43">
        <f>ROUND(PAGE2!$I$42,5)</f>
        <v>0</v>
      </c>
    </row>
    <row r="239" spans="1:3">
      <c r="A239" s="146" t="e">
        <f>$C$1&amp;".E30A.REM.PVFIN._INT.5.1_6_PERCT.OS."</f>
        <v>#N/A</v>
      </c>
      <c r="B239" s="43">
        <f>ROUND(PAGE2!$L$42,5)</f>
        <v>0</v>
      </c>
      <c r="C239" s="43">
        <f>ROUND(PAGE2!$N$42,5)</f>
        <v>0</v>
      </c>
    </row>
    <row r="240" spans="1:3">
      <c r="A240" s="146" t="e">
        <f>$C$1&amp;".E30A.REM.PVFIN._INT.6.1_7_PERCT.APPR."</f>
        <v>#N/A</v>
      </c>
      <c r="B240" s="43">
        <f>ROUND(PAGE2!$G$43,5)</f>
        <v>0</v>
      </c>
      <c r="C240" s="43">
        <f>ROUND(PAGE2!$I$43,5)</f>
        <v>0</v>
      </c>
    </row>
    <row r="241" spans="1:3">
      <c r="A241" s="146" t="e">
        <f>$C$1&amp;".E30A.REM.PVFIN._INT.6.1_7_PERCT.OS."</f>
        <v>#N/A</v>
      </c>
      <c r="B241" s="43">
        <f>ROUND(PAGE2!$L$43,5)</f>
        <v>0</v>
      </c>
      <c r="C241" s="43">
        <f>ROUND(PAGE2!$N$43,5)</f>
        <v>0</v>
      </c>
    </row>
    <row r="242" spans="1:3">
      <c r="A242" s="146" t="e">
        <f>$C$1&amp;".E30A.REM.PVFIN._INT.7.1_8_PERCT.APPR."</f>
        <v>#N/A</v>
      </c>
      <c r="B242" s="43">
        <f>ROUND(PAGE2!$G$44,5)</f>
        <v>0</v>
      </c>
      <c r="C242" s="43">
        <f>ROUND(PAGE2!$I$44,5)</f>
        <v>0</v>
      </c>
    </row>
    <row r="243" spans="1:3">
      <c r="A243" s="146" t="e">
        <f>$C$1&amp;".E30A.REM.PVFIN._INT.7.1_8_PERCT.OS."</f>
        <v>#N/A</v>
      </c>
      <c r="B243" s="43">
        <f>ROUND(PAGE2!$L$44,5)</f>
        <v>0</v>
      </c>
      <c r="C243" s="43">
        <f>ROUND(PAGE2!$N$44,5)</f>
        <v>0</v>
      </c>
    </row>
    <row r="244" spans="1:3">
      <c r="A244" s="146" t="e">
        <f>$C$1&amp;".E30A.REM.PVFIN._INT.8.1_9_PERCT.APPR."</f>
        <v>#N/A</v>
      </c>
      <c r="B244" s="43">
        <f>ROUND(PAGE2!$G$45,5)</f>
        <v>0</v>
      </c>
      <c r="C244" s="43">
        <f>ROUND(PAGE2!$I$45,5)</f>
        <v>0</v>
      </c>
    </row>
    <row r="245" spans="1:3">
      <c r="A245" s="146" t="e">
        <f>$C$1&amp;".E30A.REM.PVFIN._INT.8.1_9_PERCT.OS."</f>
        <v>#N/A</v>
      </c>
      <c r="B245" s="43">
        <f>ROUND(PAGE2!$L$45,5)</f>
        <v>0</v>
      </c>
      <c r="C245" s="43">
        <f>ROUND(PAGE2!$N$45,5)</f>
        <v>0</v>
      </c>
    </row>
    <row r="246" spans="1:3">
      <c r="A246" s="146" t="e">
        <f>$C$1&amp;".E30A.REM.PVFIN._INT.9.1_10_PERCT.APPR."</f>
        <v>#N/A</v>
      </c>
      <c r="B246" s="43">
        <f>ROUND(PAGE2!$G$46,5)</f>
        <v>0</v>
      </c>
      <c r="C246" s="43">
        <f>ROUND(PAGE2!$I$46,5)</f>
        <v>0</v>
      </c>
    </row>
    <row r="247" spans="1:3">
      <c r="A247" s="146" t="e">
        <f>$C$1&amp;".E30A.REM.PVFIN._INT.9.1_10_PERCT.OS."</f>
        <v>#N/A</v>
      </c>
      <c r="B247" s="43">
        <f>ROUND(PAGE2!$L$46,5)</f>
        <v>0</v>
      </c>
      <c r="C247" s="43">
        <f>ROUND(PAGE2!$N$46,5)</f>
        <v>0</v>
      </c>
    </row>
    <row r="248" spans="1:3">
      <c r="A248" s="146" t="e">
        <f>$C$1&amp;".E30A.REM.PVFIN._INT.10.1_11_PERCT.APPR."</f>
        <v>#N/A</v>
      </c>
      <c r="B248" s="43">
        <f>ROUND(PAGE2!$G$47,5)</f>
        <v>0</v>
      </c>
      <c r="C248" s="43">
        <f>ROUND(PAGE2!$I$47,5)</f>
        <v>0</v>
      </c>
    </row>
    <row r="249" spans="1:3">
      <c r="A249" s="146" t="e">
        <f>$C$1&amp;".E30A.REM.PVFIN._INT.10.1_11_PERCT.OS."</f>
        <v>#N/A</v>
      </c>
      <c r="B249" s="43">
        <f>ROUND(PAGE2!$L$47,5)</f>
        <v>0</v>
      </c>
      <c r="C249" s="43">
        <f>ROUND(PAGE2!$N$47,5)</f>
        <v>0</v>
      </c>
    </row>
    <row r="250" spans="1:3">
      <c r="A250" s="146" t="e">
        <f>$C$1&amp;".E30A.REM.PVFIN._INT.11.1_12_PERCT.APPR."</f>
        <v>#N/A</v>
      </c>
      <c r="B250" s="43">
        <f>ROUND(PAGE2!$G$48,5)</f>
        <v>0</v>
      </c>
      <c r="C250" s="43">
        <f>ROUND(PAGE2!$I$48,5)</f>
        <v>0</v>
      </c>
    </row>
    <row r="251" spans="1:3">
      <c r="A251" s="146" t="e">
        <f>$C$1&amp;".E30A.REM.PVFIN._INT.11.1_12_PERCT.OS."</f>
        <v>#N/A</v>
      </c>
      <c r="B251" s="43">
        <f>ROUND(PAGE2!$L$48,5)</f>
        <v>0</v>
      </c>
      <c r="C251" s="43">
        <f>ROUND(PAGE2!$N$48,5)</f>
        <v>0</v>
      </c>
    </row>
    <row r="252" spans="1:3">
      <c r="A252" s="146" t="e">
        <f>$C$1&amp;".E30A.REM.PVFIN._INT.12.1_13_PERCT.APPR."</f>
        <v>#N/A</v>
      </c>
      <c r="B252" s="43">
        <f>ROUND(PAGE2!$G$49,5)</f>
        <v>0</v>
      </c>
      <c r="C252" s="43">
        <f>ROUND(PAGE2!$I$49,5)</f>
        <v>0</v>
      </c>
    </row>
    <row r="253" spans="1:3">
      <c r="A253" s="146" t="e">
        <f>$C$1&amp;".E30A.REM.PVFIN._INT.12.1_13_PERCT.OS."</f>
        <v>#N/A</v>
      </c>
      <c r="B253" s="43">
        <f>ROUND(PAGE2!$L$49,5)</f>
        <v>0</v>
      </c>
      <c r="C253" s="43">
        <f>ROUND(PAGE2!$N$49,5)</f>
        <v>0</v>
      </c>
    </row>
    <row r="254" spans="1:3">
      <c r="A254" s="146" t="e">
        <f>$C$1&amp;".E30A.REM.PVFIN._INT.13.1_14_PERCT.APPR."</f>
        <v>#N/A</v>
      </c>
      <c r="B254" s="43">
        <f>ROUND(PAGE2!$G$50,5)</f>
        <v>0</v>
      </c>
      <c r="C254" s="43">
        <f>ROUND(PAGE2!$I$50,5)</f>
        <v>0</v>
      </c>
    </row>
    <row r="255" spans="1:3">
      <c r="A255" s="146" t="e">
        <f>$C$1&amp;".E30A.REM.PVFIN._INT.13.1_14_PERCT.OS."</f>
        <v>#N/A</v>
      </c>
      <c r="B255" s="43">
        <f>ROUND(PAGE2!$L$50,5)</f>
        <v>0</v>
      </c>
      <c r="C255" s="43">
        <f>ROUND(PAGE2!$N$50,5)</f>
        <v>0</v>
      </c>
    </row>
    <row r="256" spans="1:3">
      <c r="A256" s="146" t="e">
        <f>$C$1&amp;".E30A.REM.PVFIN._INT.14.1_15_PERCT.APPR."</f>
        <v>#N/A</v>
      </c>
      <c r="B256" s="43">
        <f>ROUND(PAGE2!$G$51,5)</f>
        <v>0</v>
      </c>
      <c r="C256" s="43">
        <f>ROUND(PAGE2!$I$51,5)</f>
        <v>0</v>
      </c>
    </row>
    <row r="257" spans="1:3">
      <c r="A257" s="146" t="e">
        <f>$C$1&amp;".E30A.REM.PVFIN._INT.14.1_15_PERCT.OS."</f>
        <v>#N/A</v>
      </c>
      <c r="B257" s="43">
        <f>ROUND(PAGE2!$L$51,5)</f>
        <v>0</v>
      </c>
      <c r="C257" s="43">
        <f>ROUND(PAGE2!$N$51,5)</f>
        <v>0</v>
      </c>
    </row>
    <row r="258" spans="1:3">
      <c r="A258" s="146" t="e">
        <f>$C$1&amp;".E30A.REM.PVFIN._INT.OVR_15_PERCT.APPR."</f>
        <v>#N/A</v>
      </c>
      <c r="B258" s="43">
        <f>ROUND(PAGE2!$G$52,5)</f>
        <v>0</v>
      </c>
      <c r="C258" s="43">
        <f>ROUND(PAGE2!$I$52,5)</f>
        <v>0</v>
      </c>
    </row>
    <row r="259" spans="1:3">
      <c r="A259" s="146" t="e">
        <f>$C$1&amp;".E30A.REM.PVFIN._INT.OVR_15_PERCT.OS."</f>
        <v>#N/A</v>
      </c>
      <c r="B259" s="43">
        <f>ROUND(PAGE2!$L$52,5)</f>
        <v>0</v>
      </c>
      <c r="C259" s="43">
        <f>ROUND(PAGE2!$N$52,5)</f>
        <v>0</v>
      </c>
    </row>
    <row r="260" spans="1:3">
      <c r="A260" s="146" t="e">
        <f>$C$1&amp;".E30A.REM.IBUS._INT.0_3_PERCT.APPR."</f>
        <v>#N/A</v>
      </c>
      <c r="B260" s="43">
        <f>ROUND(PAGE2!$G$57,5)</f>
        <v>0</v>
      </c>
      <c r="C260" s="43">
        <f>ROUND(PAGE2!$I$57,5)</f>
        <v>0</v>
      </c>
    </row>
    <row r="261" spans="1:3">
      <c r="A261" s="146" t="e">
        <f>$C$1&amp;".E30A.REM.IBUS._INT.0_3_PERCT.OS."</f>
        <v>#N/A</v>
      </c>
      <c r="B261" s="43">
        <f>ROUND(PAGE2!$L$57,5)</f>
        <v>0</v>
      </c>
      <c r="C261" s="43">
        <f>ROUND(PAGE2!$N$57,5)</f>
        <v>0</v>
      </c>
    </row>
    <row r="262" spans="1:3">
      <c r="A262" s="146" t="e">
        <f>$C$1&amp;".E30A.REM.IBUS._INT.3.1_4_PERCT.APPR."</f>
        <v>#N/A</v>
      </c>
      <c r="B262" s="43">
        <f>ROUND(PAGE2!$G$58,5)</f>
        <v>0</v>
      </c>
      <c r="C262" s="43">
        <f>ROUND(PAGE2!$I$58,5)</f>
        <v>0</v>
      </c>
    </row>
    <row r="263" spans="1:3">
      <c r="A263" s="146" t="e">
        <f>$C$1&amp;".E30A.REM.IBUS._INT.3.1_4_PERCT.OS."</f>
        <v>#N/A</v>
      </c>
      <c r="B263" s="43">
        <f>ROUND(PAGE2!$L$58,5)</f>
        <v>0</v>
      </c>
      <c r="C263" s="43">
        <f>ROUND(PAGE2!$N$58,5)</f>
        <v>0</v>
      </c>
    </row>
    <row r="264" spans="1:3">
      <c r="A264" s="146" t="e">
        <f>$C$1&amp;".E30A.REM.IBUS._INT.4.1_5_PERCT.APPR."</f>
        <v>#N/A</v>
      </c>
      <c r="B264" s="43">
        <f>ROUND(PAGE2!$G$59,5)</f>
        <v>0</v>
      </c>
      <c r="C264" s="43">
        <f>ROUND(PAGE2!$I$59,5)</f>
        <v>0</v>
      </c>
    </row>
    <row r="265" spans="1:3">
      <c r="A265" s="146" t="e">
        <f>$C$1&amp;".E30A.REM.IBUS._INT.4.1_5_PERCT.OS."</f>
        <v>#N/A</v>
      </c>
      <c r="B265" s="43">
        <f>ROUND(PAGE2!$L$59,5)</f>
        <v>0</v>
      </c>
      <c r="C265" s="43">
        <f>ROUND(PAGE2!$N$59,5)</f>
        <v>0</v>
      </c>
    </row>
    <row r="266" spans="1:3">
      <c r="A266" s="146" t="e">
        <f>$C$1&amp;".E30A.REM.IBUS._INT.5.1_6_PERCT.APPR."</f>
        <v>#N/A</v>
      </c>
      <c r="B266" s="43">
        <f>ROUND(PAGE2!$G$60,5)</f>
        <v>0</v>
      </c>
      <c r="C266" s="43">
        <f>ROUND(PAGE2!$I$60,5)</f>
        <v>0</v>
      </c>
    </row>
    <row r="267" spans="1:3">
      <c r="A267" s="146" t="e">
        <f>$C$1&amp;".E30A.REM.IBUS._INT.5.1_6_PERCT.OS."</f>
        <v>#N/A</v>
      </c>
      <c r="B267" s="43">
        <f>ROUND(PAGE2!$L$60,5)</f>
        <v>0</v>
      </c>
      <c r="C267" s="43">
        <f>ROUND(PAGE2!$N$60,5)</f>
        <v>0</v>
      </c>
    </row>
    <row r="268" spans="1:3">
      <c r="A268" s="146" t="e">
        <f>$C$1&amp;".E30A.REM.IBUS._INT.6.1_7_PERCT.APPR."</f>
        <v>#N/A</v>
      </c>
      <c r="B268" s="43">
        <f>ROUND(PAGE2!$G$61,5)</f>
        <v>0</v>
      </c>
      <c r="C268" s="43">
        <f>ROUND(PAGE2!$I$61,5)</f>
        <v>0</v>
      </c>
    </row>
    <row r="269" spans="1:3">
      <c r="A269" s="146" t="e">
        <f>$C$1&amp;".E30A.REM.IBUS._INT.6.1_7_PERCT.OS."</f>
        <v>#N/A</v>
      </c>
      <c r="B269" s="43">
        <f>ROUND(PAGE2!$L$61,5)</f>
        <v>0</v>
      </c>
      <c r="C269" s="43">
        <f>ROUND(PAGE2!$N$61,5)</f>
        <v>0</v>
      </c>
    </row>
    <row r="270" spans="1:3">
      <c r="A270" s="146" t="e">
        <f>$C$1&amp;".E30A.REM.IBUS._INT.7.1_8_PERCT.APPR."</f>
        <v>#N/A</v>
      </c>
      <c r="B270" s="43">
        <f>ROUND(PAGE2!$G$62,5)</f>
        <v>0</v>
      </c>
      <c r="C270" s="43">
        <f>ROUND(PAGE2!$I$62,5)</f>
        <v>0</v>
      </c>
    </row>
    <row r="271" spans="1:3">
      <c r="A271" s="146" t="e">
        <f>$C$1&amp;".E30A.REM.IBUS._INT.7.1_8_PERCT.OS."</f>
        <v>#N/A</v>
      </c>
      <c r="B271" s="43">
        <f>ROUND(PAGE2!$L$62,5)</f>
        <v>0</v>
      </c>
      <c r="C271" s="43">
        <f>ROUND(PAGE2!$N$62,5)</f>
        <v>0</v>
      </c>
    </row>
    <row r="272" spans="1:3">
      <c r="A272" s="146" t="e">
        <f>$C$1&amp;".E30A.REM.IBUS._INT.8.1_9_PERCT.APPR."</f>
        <v>#N/A</v>
      </c>
      <c r="B272" s="43">
        <f>ROUND(PAGE2!$G$63,5)</f>
        <v>0</v>
      </c>
      <c r="C272" s="43">
        <f>ROUND(PAGE2!$I$63,5)</f>
        <v>0</v>
      </c>
    </row>
    <row r="273" spans="1:3">
      <c r="A273" s="146" t="e">
        <f>$C$1&amp;".E30A.REM.IBUS._INT.8.1_9_PERCT.OS."</f>
        <v>#N/A</v>
      </c>
      <c r="B273" s="43">
        <f>ROUND(PAGE2!$L$63,5)</f>
        <v>0</v>
      </c>
      <c r="C273" s="43">
        <f>ROUND(PAGE2!$N$63,5)</f>
        <v>0</v>
      </c>
    </row>
    <row r="274" spans="1:3">
      <c r="A274" s="146" t="e">
        <f>$C$1&amp;".E30A.REM.IBUS._INT.9.1_10_PERCT.APPR."</f>
        <v>#N/A</v>
      </c>
      <c r="B274" s="43">
        <f>ROUND(PAGE2!$G$64,5)</f>
        <v>0</v>
      </c>
      <c r="C274" s="43">
        <f>ROUND(PAGE2!$I$64,5)</f>
        <v>0</v>
      </c>
    </row>
    <row r="275" spans="1:3">
      <c r="A275" s="146" t="e">
        <f>$C$1&amp;".E30A.REM.IBUS._INT.9.1_10_PERCT.OS."</f>
        <v>#N/A</v>
      </c>
      <c r="B275" s="43">
        <f>ROUND(PAGE2!$L$64,5)</f>
        <v>0</v>
      </c>
      <c r="C275" s="43">
        <f>ROUND(PAGE2!$N$64,5)</f>
        <v>0</v>
      </c>
    </row>
    <row r="276" spans="1:3">
      <c r="A276" s="146" t="e">
        <f>$C$1&amp;".E30A.REM.IBUS._INT.10.1_11_PERCT.APPR."</f>
        <v>#N/A</v>
      </c>
      <c r="B276" s="43">
        <f>ROUND(PAGE2!$G$65,5)</f>
        <v>0</v>
      </c>
      <c r="C276" s="43">
        <f>ROUND(PAGE2!$I$65,5)</f>
        <v>0</v>
      </c>
    </row>
    <row r="277" spans="1:3">
      <c r="A277" s="146" t="e">
        <f>$C$1&amp;".E30A.REM.IBUS._INT.10.1_11_PERCT.OS."</f>
        <v>#N/A</v>
      </c>
      <c r="B277" s="43">
        <f>ROUND(PAGE2!$L$65,5)</f>
        <v>0</v>
      </c>
      <c r="C277" s="43">
        <f>ROUND(PAGE2!$N$65,5)</f>
        <v>0</v>
      </c>
    </row>
    <row r="278" spans="1:3">
      <c r="A278" s="146" t="e">
        <f>$C$1&amp;".E30A.REM.IBUS._INT.11.1_12_PERCT.APPR."</f>
        <v>#N/A</v>
      </c>
      <c r="B278" s="43">
        <f>ROUND(PAGE2!$G$66,5)</f>
        <v>0</v>
      </c>
      <c r="C278" s="43">
        <f>ROUND(PAGE2!$I$66,5)</f>
        <v>0</v>
      </c>
    </row>
    <row r="279" spans="1:3">
      <c r="A279" s="146" t="e">
        <f>$C$1&amp;".E30A.REM.IBUS._INT.11.1_12_PERCT.OS."</f>
        <v>#N/A</v>
      </c>
      <c r="B279" s="43">
        <f>ROUND(PAGE2!$L$66,5)</f>
        <v>0</v>
      </c>
      <c r="C279" s="43">
        <f>ROUND(PAGE2!$N$66,5)</f>
        <v>0</v>
      </c>
    </row>
    <row r="280" spans="1:3">
      <c r="A280" s="146" t="e">
        <f>$C$1&amp;".E30A.REM.IBUS._INT.12.1_13_PERCT.APPR."</f>
        <v>#N/A</v>
      </c>
      <c r="B280" s="43">
        <f>ROUND(PAGE2!$G$67,5)</f>
        <v>0</v>
      </c>
      <c r="C280" s="43">
        <f>ROUND(PAGE2!$I$67,5)</f>
        <v>0</v>
      </c>
    </row>
    <row r="281" spans="1:3">
      <c r="A281" s="146" t="e">
        <f>$C$1&amp;".E30A.REM.IBUS._INT.12.1_13_PERCT.OS."</f>
        <v>#N/A</v>
      </c>
      <c r="B281" s="43">
        <f>ROUND(PAGE2!$L$67,5)</f>
        <v>0</v>
      </c>
      <c r="C281" s="43">
        <f>ROUND(PAGE2!$N$67,5)</f>
        <v>0</v>
      </c>
    </row>
    <row r="282" spans="1:3">
      <c r="A282" s="146" t="e">
        <f>$C$1&amp;".E30A.REM.IBUS._INT.13.1_14_PERCT.APPR."</f>
        <v>#N/A</v>
      </c>
      <c r="B282" s="43">
        <f>ROUND(PAGE2!$G$68,5)</f>
        <v>0</v>
      </c>
      <c r="C282" s="43">
        <f>ROUND(PAGE2!$I$68,5)</f>
        <v>0</v>
      </c>
    </row>
    <row r="283" spans="1:3">
      <c r="A283" s="146" t="e">
        <f>$C$1&amp;".E30A.REM.IBUS._INT.13.1_14_PERCT.OS."</f>
        <v>#N/A</v>
      </c>
      <c r="B283" s="43">
        <f>ROUND(PAGE2!$L$68,5)</f>
        <v>0</v>
      </c>
      <c r="C283" s="43">
        <f>ROUND(PAGE2!$N$68,5)</f>
        <v>0</v>
      </c>
    </row>
    <row r="284" spans="1:3">
      <c r="A284" s="146" t="e">
        <f>$C$1&amp;".E30A.REM.IBUS._INT.14.1_15_PERCT.APPR."</f>
        <v>#N/A</v>
      </c>
      <c r="B284" s="43">
        <f>ROUND(PAGE2!$G$69,5)</f>
        <v>0</v>
      </c>
      <c r="C284" s="43">
        <f>ROUND(PAGE2!$I$69,5)</f>
        <v>0</v>
      </c>
    </row>
    <row r="285" spans="1:3">
      <c r="A285" s="146" t="e">
        <f>$C$1&amp;".E30A.REM.IBUS._INT.14.1_15_PERCT.OS."</f>
        <v>#N/A</v>
      </c>
      <c r="B285" s="43">
        <f>ROUND(PAGE2!$L$69,5)</f>
        <v>0</v>
      </c>
      <c r="C285" s="43">
        <f>ROUND(PAGE2!$N$69,5)</f>
        <v>0</v>
      </c>
    </row>
    <row r="286" spans="1:3">
      <c r="A286" s="146" t="e">
        <f>$C$1&amp;".E30A.REM.IBUS._INT.OVR_15_PERCT.APPR."</f>
        <v>#N/A</v>
      </c>
      <c r="B286" s="43">
        <f>ROUND(PAGE2!$G$70,5)</f>
        <v>0</v>
      </c>
      <c r="C286" s="43">
        <f>ROUND(PAGE2!$I$70,5)</f>
        <v>0</v>
      </c>
    </row>
    <row r="287" spans="1:3">
      <c r="A287" s="146" t="e">
        <f>$C$1&amp;".E30A.REM.IBUS._INT.OVR_15_PERCT.OS."</f>
        <v>#N/A</v>
      </c>
      <c r="B287" s="43">
        <f>ROUND(PAGE2!$L$70,5)</f>
        <v>0</v>
      </c>
      <c r="C287" s="43">
        <f>ROUND(PAGE2!$N$70,5)</f>
        <v>0</v>
      </c>
    </row>
    <row r="288" spans="1:3">
      <c r="A288" s="146" t="e">
        <f>$C$1&amp;".E30A.REM.UIBUS._INT.0_3_PERCT.APPR."</f>
        <v>#N/A</v>
      </c>
      <c r="B288" s="43">
        <f>ROUND(PAGE2!$G$75,5)</f>
        <v>0</v>
      </c>
      <c r="C288" s="43">
        <f>ROUND(PAGE2!$I$75,5)</f>
        <v>0</v>
      </c>
    </row>
    <row r="289" spans="1:3">
      <c r="A289" s="146" t="e">
        <f>$C$1&amp;".E30A.REM.UIBUS._INT.0_3_PERCT.OS."</f>
        <v>#N/A</v>
      </c>
      <c r="B289" s="43">
        <f>ROUND(PAGE2!$L$75,5)</f>
        <v>0</v>
      </c>
      <c r="C289" s="43">
        <f>ROUND(PAGE2!$N$75,5)</f>
        <v>0</v>
      </c>
    </row>
    <row r="290" spans="1:3">
      <c r="A290" s="146" t="e">
        <f>$C$1&amp;".E30A.REM.UIBUS._INT.3.1_4_PERCT.APPR."</f>
        <v>#N/A</v>
      </c>
      <c r="B290" s="43">
        <f>ROUND(PAGE2!$G$76,5)</f>
        <v>0</v>
      </c>
      <c r="C290" s="43">
        <f>ROUND(PAGE2!$I$76,5)</f>
        <v>0</v>
      </c>
    </row>
    <row r="291" spans="1:3">
      <c r="A291" s="146" t="e">
        <f>$C$1&amp;".E30A.REM.UIBUS._INT.3.1_4_PERCT.OS."</f>
        <v>#N/A</v>
      </c>
      <c r="B291" s="43">
        <f>ROUND(PAGE2!$L$76,5)</f>
        <v>0</v>
      </c>
      <c r="C291" s="43">
        <f>ROUND(PAGE2!$N$76,5)</f>
        <v>0</v>
      </c>
    </row>
    <row r="292" spans="1:3">
      <c r="A292" s="146" t="e">
        <f>$C$1&amp;".E30A.REM.UIBUS._INT.4.1_5_PERCT.APPR."</f>
        <v>#N/A</v>
      </c>
      <c r="B292" s="43">
        <f>ROUND(PAGE2!$G$77,5)</f>
        <v>0</v>
      </c>
      <c r="C292" s="43">
        <f>ROUND(PAGE2!$I$77,5)</f>
        <v>0</v>
      </c>
    </row>
    <row r="293" spans="1:3">
      <c r="A293" s="146" t="e">
        <f>$C$1&amp;".E30A.REM.UIBUS._INT.4.1_5_PERCT.OS."</f>
        <v>#N/A</v>
      </c>
      <c r="B293" s="43">
        <f>ROUND(PAGE2!$L$77,5)</f>
        <v>0</v>
      </c>
      <c r="C293" s="43">
        <f>ROUND(PAGE2!$N$77,5)</f>
        <v>0</v>
      </c>
    </row>
    <row r="294" spans="1:3">
      <c r="A294" s="146" t="e">
        <f>$C$1&amp;".E30A.REM.UIBUS._INT.5.1_6_PERCT.APPR."</f>
        <v>#N/A</v>
      </c>
      <c r="B294" s="43">
        <f>ROUND(PAGE2!$G$78,5)</f>
        <v>0</v>
      </c>
      <c r="C294" s="43">
        <f>ROUND(PAGE2!$I$78,5)</f>
        <v>0</v>
      </c>
    </row>
    <row r="295" spans="1:3">
      <c r="A295" s="146" t="e">
        <f>$C$1&amp;".E30A.REM.UIBUS._INT.5.1_6_PERCT.OS."</f>
        <v>#N/A</v>
      </c>
      <c r="B295" s="43">
        <f>ROUND(PAGE2!$L$78,5)</f>
        <v>0</v>
      </c>
      <c r="C295" s="43">
        <f>ROUND(PAGE2!$N$78,5)</f>
        <v>0</v>
      </c>
    </row>
    <row r="296" spans="1:3">
      <c r="A296" s="146" t="e">
        <f>$C$1&amp;".E30A.REM.UIBUS._INT.6.1_7_PERCT.APPR."</f>
        <v>#N/A</v>
      </c>
      <c r="B296" s="43">
        <f>ROUND(PAGE2!$G$79,5)</f>
        <v>0</v>
      </c>
      <c r="C296" s="43">
        <f>ROUND(PAGE2!$I$79,5)</f>
        <v>0</v>
      </c>
    </row>
    <row r="297" spans="1:3">
      <c r="A297" s="146" t="e">
        <f>$C$1&amp;".E30A.REM.UIBUS._INT.6.1_7_PERCT.OS."</f>
        <v>#N/A</v>
      </c>
      <c r="B297" s="43">
        <f>ROUND(PAGE2!$L$79,5)</f>
        <v>0</v>
      </c>
      <c r="C297" s="43">
        <f>ROUND(PAGE2!$N$79,5)</f>
        <v>0</v>
      </c>
    </row>
    <row r="298" spans="1:3">
      <c r="A298" s="146" t="e">
        <f>$C$1&amp;".E30A.REM.UIBUS._INT.7.1_8_PERCT.APPR."</f>
        <v>#N/A</v>
      </c>
      <c r="B298" s="43">
        <f>ROUND(PAGE2!$G$80,5)</f>
        <v>0</v>
      </c>
      <c r="C298" s="43">
        <f>ROUND(PAGE2!$I$80,5)</f>
        <v>0</v>
      </c>
    </row>
    <row r="299" spans="1:3">
      <c r="A299" s="146" t="e">
        <f>$C$1&amp;".E30A.REM.UIBUS._INT.7.1_8_PERCT.OS."</f>
        <v>#N/A</v>
      </c>
      <c r="B299" s="43">
        <f>ROUND(PAGE2!$L$80,5)</f>
        <v>0</v>
      </c>
      <c r="C299" s="43">
        <f>ROUND(PAGE2!$N$80,5)</f>
        <v>0</v>
      </c>
    </row>
    <row r="300" spans="1:3">
      <c r="A300" s="146" t="e">
        <f>$C$1&amp;".E30A.REM.UIBUS._INT.8.1_9_PERCT.APPR."</f>
        <v>#N/A</v>
      </c>
      <c r="B300" s="43">
        <f>ROUND(PAGE2!$G$81,5)</f>
        <v>0</v>
      </c>
      <c r="C300" s="43">
        <f>ROUND(PAGE2!$I$81,5)</f>
        <v>0</v>
      </c>
    </row>
    <row r="301" spans="1:3">
      <c r="A301" s="146" t="e">
        <f>$C$1&amp;".E30A.REM.UIBUS._INT.8.1_9_PERCT.OS."</f>
        <v>#N/A</v>
      </c>
      <c r="B301" s="43">
        <f>ROUND(PAGE2!$L$81,5)</f>
        <v>0</v>
      </c>
      <c r="C301" s="43">
        <f>ROUND(PAGE2!$N$81,5)</f>
        <v>0</v>
      </c>
    </row>
    <row r="302" spans="1:3">
      <c r="A302" s="146" t="e">
        <f>$C$1&amp;".E30A.REM.UIBUS._INT.9.1_10_PERCT.APPR."</f>
        <v>#N/A</v>
      </c>
      <c r="B302" s="43">
        <f>ROUND(PAGE2!$G$82,5)</f>
        <v>0</v>
      </c>
      <c r="C302" s="43">
        <f>ROUND(PAGE2!$I$82,5)</f>
        <v>0</v>
      </c>
    </row>
    <row r="303" spans="1:3">
      <c r="A303" s="146" t="e">
        <f>$C$1&amp;".E30A.REM.UIBUS._INT.9.1_10_PERCT.OS."</f>
        <v>#N/A</v>
      </c>
      <c r="B303" s="43">
        <f>ROUND(PAGE2!$L$82,5)</f>
        <v>0</v>
      </c>
      <c r="C303" s="43">
        <f>ROUND(PAGE2!$N$82,5)</f>
        <v>0</v>
      </c>
    </row>
    <row r="304" spans="1:3">
      <c r="A304" s="146" t="e">
        <f>$C$1&amp;".E30A.REM.UIBUS._INT.10.1_11_PERCT.APPR."</f>
        <v>#N/A</v>
      </c>
      <c r="B304" s="43">
        <f>ROUND(PAGE2!$G$83,5)</f>
        <v>0</v>
      </c>
      <c r="C304" s="43">
        <f>ROUND(PAGE2!$I$83,5)</f>
        <v>0</v>
      </c>
    </row>
    <row r="305" spans="1:3">
      <c r="A305" s="146" t="e">
        <f>$C$1&amp;".E30A.REM.UIBUS._INT.10.1_11_PERCT.OS."</f>
        <v>#N/A</v>
      </c>
      <c r="B305" s="43">
        <f>ROUND(PAGE2!$L$83,5)</f>
        <v>0</v>
      </c>
      <c r="C305" s="43">
        <f>ROUND(PAGE2!$N$83,5)</f>
        <v>0</v>
      </c>
    </row>
    <row r="306" spans="1:3">
      <c r="A306" s="146" t="e">
        <f>$C$1&amp;".E30A.REM.UIBUS._INT.11.1_12_PERCT.APPR."</f>
        <v>#N/A</v>
      </c>
      <c r="B306" s="43">
        <f>ROUND(PAGE2!$G$84,5)</f>
        <v>0</v>
      </c>
      <c r="C306" s="43">
        <f>ROUND(PAGE2!$I$84,5)</f>
        <v>0</v>
      </c>
    </row>
    <row r="307" spans="1:3">
      <c r="A307" s="146" t="e">
        <f>$C$1&amp;".E30A.REM.UIBUS._INT.11.1_12_PERCT.OS."</f>
        <v>#N/A</v>
      </c>
      <c r="B307" s="43">
        <f>ROUND(PAGE2!$L$84,5)</f>
        <v>0</v>
      </c>
      <c r="C307" s="43">
        <f>ROUND(PAGE2!$N$84,5)</f>
        <v>0</v>
      </c>
    </row>
    <row r="308" spans="1:3">
      <c r="A308" s="146" t="e">
        <f>$C$1&amp;".E30A.REM.UIBUS._INT.12.1_13_PERCT.APPR."</f>
        <v>#N/A</v>
      </c>
      <c r="B308" s="43">
        <f>ROUND(PAGE2!$G$85,5)</f>
        <v>0</v>
      </c>
      <c r="C308" s="43">
        <f>ROUND(PAGE2!$I$85,5)</f>
        <v>0</v>
      </c>
    </row>
    <row r="309" spans="1:3">
      <c r="A309" s="146" t="e">
        <f>$C$1&amp;".E30A.REM.UIBUS._INT.12.1_13_PERCT.OS."</f>
        <v>#N/A</v>
      </c>
      <c r="B309" s="43">
        <f>ROUND(PAGE2!$L$85,5)</f>
        <v>0</v>
      </c>
      <c r="C309" s="43">
        <f>ROUND(PAGE2!$N$85,5)</f>
        <v>0</v>
      </c>
    </row>
    <row r="310" spans="1:3">
      <c r="A310" s="146" t="e">
        <f>$C$1&amp;".E30A.REM.UIBUS._INT.13.1_14_PERCT.APPR."</f>
        <v>#N/A</v>
      </c>
      <c r="B310" s="43">
        <f>ROUND(PAGE2!$G$86,5)</f>
        <v>0</v>
      </c>
      <c r="C310" s="43">
        <f>ROUND(PAGE2!$I$86,5)</f>
        <v>0</v>
      </c>
    </row>
    <row r="311" spans="1:3">
      <c r="A311" s="146" t="e">
        <f>$C$1&amp;".E30A.REM.UIBUS._INT.13.1_14_PERCT.OS."</f>
        <v>#N/A</v>
      </c>
      <c r="B311" s="43">
        <f>ROUND(PAGE2!$L$86,5)</f>
        <v>0</v>
      </c>
      <c r="C311" s="43">
        <f>ROUND(PAGE2!$N$86,5)</f>
        <v>0</v>
      </c>
    </row>
    <row r="312" spans="1:3">
      <c r="A312" s="146" t="e">
        <f>$C$1&amp;".E30A.REM.UIBUS._INT.14.1_15_PERCT.APPR."</f>
        <v>#N/A</v>
      </c>
      <c r="B312" s="43">
        <f>ROUND(PAGE2!$G$87,5)</f>
        <v>0</v>
      </c>
      <c r="C312" s="43">
        <f>ROUND(PAGE2!$I$87,5)</f>
        <v>0</v>
      </c>
    </row>
    <row r="313" spans="1:3">
      <c r="A313" s="146" t="e">
        <f>$C$1&amp;".E30A.REM.UIBUS._INT.14.1_15_PERCT.OS."</f>
        <v>#N/A</v>
      </c>
      <c r="B313" s="43">
        <f>ROUND(PAGE2!$L$87,5)</f>
        <v>0</v>
      </c>
      <c r="C313" s="43">
        <f>ROUND(PAGE2!$N$87,5)</f>
        <v>0</v>
      </c>
    </row>
    <row r="314" spans="1:3">
      <c r="A314" s="146" t="e">
        <f>$C$1&amp;".E30A.REM.UIBUS._INT.OVR_15_PERCT.APPR."</f>
        <v>#N/A</v>
      </c>
      <c r="B314" s="43">
        <f>ROUND(PAGE2!$G$88,5)</f>
        <v>0</v>
      </c>
      <c r="C314" s="43">
        <f>ROUND(PAGE2!$I$88,5)</f>
        <v>0</v>
      </c>
    </row>
    <row r="315" spans="1:3">
      <c r="A315" s="146" t="e">
        <f>$C$1&amp;".E30A.REM.UIBUS._INT.OVR_15_PERCT.OS."</f>
        <v>#N/A</v>
      </c>
      <c r="B315" s="43">
        <f>ROUND(PAGE2!$L$88,5)</f>
        <v>0</v>
      </c>
      <c r="C315" s="43">
        <f>ROUND(PAGE2!$N$88,5)</f>
        <v>0</v>
      </c>
    </row>
    <row r="316" spans="1:3">
      <c r="A316" s="146" t="e">
        <f>$C$1&amp;".E30A.REM.CONSM._INT.0_3_PERCT.APPR."</f>
        <v>#N/A</v>
      </c>
      <c r="B316" s="43">
        <f>ROUND(PAGE2!$G$92,5)</f>
        <v>0</v>
      </c>
      <c r="C316" s="43">
        <f>ROUND(PAGE2!$I$92,5)</f>
        <v>0</v>
      </c>
    </row>
    <row r="317" spans="1:3">
      <c r="A317" s="146" t="e">
        <f>$C$1&amp;".E30A.REM.CONSM._INT.0_3_PERCT.OS."</f>
        <v>#N/A</v>
      </c>
      <c r="B317" s="43">
        <f>ROUND(PAGE2!$L$92,5)</f>
        <v>0</v>
      </c>
      <c r="C317" s="43">
        <f>ROUND(PAGE2!$N$92,5)</f>
        <v>0</v>
      </c>
    </row>
    <row r="318" spans="1:3">
      <c r="A318" s="146" t="e">
        <f>$C$1&amp;".E30A.REM.CONSM._INT.3.1_4_PERCT.APPR."</f>
        <v>#N/A</v>
      </c>
      <c r="B318" s="43">
        <f>ROUND(PAGE2!$G$93,5)</f>
        <v>0</v>
      </c>
      <c r="C318" s="43">
        <f>ROUND(PAGE2!$I$93,5)</f>
        <v>0</v>
      </c>
    </row>
    <row r="319" spans="1:3">
      <c r="A319" s="146" t="e">
        <f>$C$1&amp;".E30A.REM.CONSM._INT.3.1_4_PERCT.OS."</f>
        <v>#N/A</v>
      </c>
      <c r="B319" s="43">
        <f>ROUND(PAGE2!$L$93,5)</f>
        <v>0</v>
      </c>
      <c r="C319" s="43">
        <f>ROUND(PAGE2!$N$93,5)</f>
        <v>0</v>
      </c>
    </row>
    <row r="320" spans="1:3">
      <c r="A320" s="146" t="e">
        <f>$C$1&amp;".E30A.REM.CONSM._INT.4.1_5_PERCT.APPR."</f>
        <v>#N/A</v>
      </c>
      <c r="B320" s="43">
        <f>ROUND(PAGE2!$G$94,5)</f>
        <v>0</v>
      </c>
      <c r="C320" s="43">
        <f>ROUND(PAGE2!$I$94,5)</f>
        <v>0</v>
      </c>
    </row>
    <row r="321" spans="1:3">
      <c r="A321" s="146" t="e">
        <f>$C$1&amp;".E30A.REM.CONSM._INT.4.1_5_PERCT.OS."</f>
        <v>#N/A</v>
      </c>
      <c r="B321" s="43">
        <f>ROUND(PAGE2!$L$94,5)</f>
        <v>0</v>
      </c>
      <c r="C321" s="43">
        <f>ROUND(PAGE2!$N$94,5)</f>
        <v>0</v>
      </c>
    </row>
    <row r="322" spans="1:3">
      <c r="A322" s="146" t="e">
        <f>$C$1&amp;".E30A.REM.CONSM._INT.5.1_6_PERCT.APPR."</f>
        <v>#N/A</v>
      </c>
      <c r="B322" s="43">
        <f>ROUND(PAGE2!$G$95,5)</f>
        <v>0</v>
      </c>
      <c r="C322" s="43">
        <f>ROUND(PAGE2!$I$95,5)</f>
        <v>0</v>
      </c>
    </row>
    <row r="323" spans="1:3">
      <c r="A323" s="146" t="e">
        <f>$C$1&amp;".E30A.REM.CONSM._INT.5.1_6_PERCT.OS."</f>
        <v>#N/A</v>
      </c>
      <c r="B323" s="43">
        <f>ROUND(PAGE2!$L$95,5)</f>
        <v>0</v>
      </c>
      <c r="C323" s="43">
        <f>ROUND(PAGE2!$N$95,5)</f>
        <v>0</v>
      </c>
    </row>
    <row r="324" spans="1:3">
      <c r="A324" s="146" t="e">
        <f>$C$1&amp;".E30A.REM.CONSM._INT.6.1_7_PERCT.APPR."</f>
        <v>#N/A</v>
      </c>
      <c r="B324" s="43">
        <f>ROUND(PAGE2!$G$96,5)</f>
        <v>0</v>
      </c>
      <c r="C324" s="43">
        <f>ROUND(PAGE2!$I$96,5)</f>
        <v>0</v>
      </c>
    </row>
    <row r="325" spans="1:3">
      <c r="A325" s="146" t="e">
        <f>$C$1&amp;".E30A.REM.CONSM._INT.6.1_7_PERCT.OS."</f>
        <v>#N/A</v>
      </c>
      <c r="B325" s="43">
        <f>ROUND(PAGE2!$L$96,5)</f>
        <v>0</v>
      </c>
      <c r="C325" s="43">
        <f>ROUND(PAGE2!$N$96,5)</f>
        <v>0</v>
      </c>
    </row>
    <row r="326" spans="1:3">
      <c r="A326" s="146" t="e">
        <f>$C$1&amp;".E30A.REM.CONSM._INT.7.1_8_PERCT.APPR."</f>
        <v>#N/A</v>
      </c>
      <c r="B326" s="43">
        <f>ROUND(PAGE2!$G$97,5)</f>
        <v>0</v>
      </c>
      <c r="C326" s="43">
        <f>ROUND(PAGE2!$I$97,5)</f>
        <v>0</v>
      </c>
    </row>
    <row r="327" spans="1:3">
      <c r="A327" s="146" t="e">
        <f>$C$1&amp;".E30A.REM.CONSM._INT.7.1_8_PERCT.OS."</f>
        <v>#N/A</v>
      </c>
      <c r="B327" s="43">
        <f>ROUND(PAGE2!$L$97,5)</f>
        <v>0</v>
      </c>
      <c r="C327" s="43">
        <f>ROUND(PAGE2!$N$97,5)</f>
        <v>0</v>
      </c>
    </row>
    <row r="328" spans="1:3">
      <c r="A328" s="146" t="e">
        <f>$C$1&amp;".E30A.REM.CONSM._INT.8.1_9_PERCT.APPR."</f>
        <v>#N/A</v>
      </c>
      <c r="B328" s="43">
        <f>ROUND(PAGE2!$G$98,5)</f>
        <v>0</v>
      </c>
      <c r="C328" s="43">
        <f>ROUND(PAGE2!$I$98,5)</f>
        <v>0</v>
      </c>
    </row>
    <row r="329" spans="1:3">
      <c r="A329" s="146" t="e">
        <f>$C$1&amp;".E30A.REM.CONSM._INT.8.1_9_PERCT.OS."</f>
        <v>#N/A</v>
      </c>
      <c r="B329" s="43">
        <f>ROUND(PAGE2!$L$98,5)</f>
        <v>0</v>
      </c>
      <c r="C329" s="43">
        <f>ROUND(PAGE2!$N$98,5)</f>
        <v>0</v>
      </c>
    </row>
    <row r="330" spans="1:3">
      <c r="A330" s="146" t="e">
        <f>$C$1&amp;".E30A.REM.CONSM._INT.9.1_10_PERCT.APPR."</f>
        <v>#N/A</v>
      </c>
      <c r="B330" s="43">
        <f>ROUND(PAGE2!$G$99,5)</f>
        <v>0</v>
      </c>
      <c r="C330" s="43">
        <f>ROUND(PAGE2!$I$99,5)</f>
        <v>0</v>
      </c>
    </row>
    <row r="331" spans="1:3">
      <c r="A331" s="146" t="e">
        <f>$C$1&amp;".E30A.REM.CONSM._INT.9.1_10_PERCT.OS."</f>
        <v>#N/A</v>
      </c>
      <c r="B331" s="43">
        <f>ROUND(PAGE2!$L$99,5)</f>
        <v>0</v>
      </c>
      <c r="C331" s="43">
        <f>ROUND(PAGE2!$N$99,5)</f>
        <v>0</v>
      </c>
    </row>
    <row r="332" spans="1:3">
      <c r="A332" s="146" t="e">
        <f>$C$1&amp;".E30A.REM.CONSM._INT.10.1_11_PERCT.APPR."</f>
        <v>#N/A</v>
      </c>
      <c r="B332" s="43">
        <f>ROUND(PAGE2!$G$100,5)</f>
        <v>0</v>
      </c>
      <c r="C332" s="43">
        <f>ROUND(PAGE2!$I$100,5)</f>
        <v>0</v>
      </c>
    </row>
    <row r="333" spans="1:3">
      <c r="A333" s="146" t="e">
        <f>$C$1&amp;".E30A.REM.CONSM._INT.10.1_11_PERCT.OS."</f>
        <v>#N/A</v>
      </c>
      <c r="B333" s="43">
        <f>ROUND(PAGE2!$L$100,5)</f>
        <v>0</v>
      </c>
      <c r="C333" s="43">
        <f>ROUND(PAGE2!$N$100,5)</f>
        <v>0</v>
      </c>
    </row>
    <row r="334" spans="1:3">
      <c r="A334" s="146" t="e">
        <f>$C$1&amp;".E30A.REM.CONSM._INT.11.1_12_PERCT.APPR."</f>
        <v>#N/A</v>
      </c>
      <c r="B334" s="43">
        <f>ROUND(PAGE2!$G$101,5)</f>
        <v>0</v>
      </c>
      <c r="C334" s="43">
        <f>ROUND(PAGE2!$I$101,5)</f>
        <v>0</v>
      </c>
    </row>
    <row r="335" spans="1:3">
      <c r="A335" s="146" t="e">
        <f>$C$1&amp;".E30A.REM.CONSM._INT.11.1_12_PERCT.OS."</f>
        <v>#N/A</v>
      </c>
      <c r="B335" s="43">
        <f>ROUND(PAGE2!$L$101,5)</f>
        <v>0</v>
      </c>
      <c r="C335" s="43">
        <f>ROUND(PAGE2!$N$101,5)</f>
        <v>0</v>
      </c>
    </row>
    <row r="336" spans="1:3">
      <c r="A336" s="146" t="e">
        <f>$C$1&amp;".E30A.REM.CONSM._INT.12.1_13_PERCT.APPR."</f>
        <v>#N/A</v>
      </c>
      <c r="B336" s="43">
        <f>ROUND(PAGE2!$G$102,5)</f>
        <v>0</v>
      </c>
      <c r="C336" s="43">
        <f>ROUND(PAGE2!$I$102,5)</f>
        <v>0</v>
      </c>
    </row>
    <row r="337" spans="1:3">
      <c r="A337" s="146" t="e">
        <f>$C$1&amp;".E30A.REM.CONSM._INT.12.1_13_PERCT.OS."</f>
        <v>#N/A</v>
      </c>
      <c r="B337" s="43">
        <f>ROUND(PAGE2!$L$102,5)</f>
        <v>0</v>
      </c>
      <c r="C337" s="43">
        <f>ROUND(PAGE2!$N$102,5)</f>
        <v>0</v>
      </c>
    </row>
    <row r="338" spans="1:3">
      <c r="A338" s="146" t="e">
        <f>$C$1&amp;".E30A.REM.CONSM._INT.13.1_14_PERCT.APPR."</f>
        <v>#N/A</v>
      </c>
      <c r="B338" s="43">
        <f>ROUND(PAGE2!$G$103,5)</f>
        <v>0</v>
      </c>
      <c r="C338" s="43">
        <f>ROUND(PAGE2!$I$103,5)</f>
        <v>0</v>
      </c>
    </row>
    <row r="339" spans="1:3">
      <c r="A339" s="146" t="e">
        <f>$C$1&amp;".E30A.REM.CONSM._INT.13.1_14_PERCT.OS."</f>
        <v>#N/A</v>
      </c>
      <c r="B339" s="43">
        <f>ROUND(PAGE2!$L$103,5)</f>
        <v>0</v>
      </c>
      <c r="C339" s="43">
        <f>ROUND(PAGE2!$N$103,5)</f>
        <v>0</v>
      </c>
    </row>
    <row r="340" spans="1:3">
      <c r="A340" s="146" t="e">
        <f>$C$1&amp;".E30A.REM.CONSM._INT.14.1_15_PERCT.APPR."</f>
        <v>#N/A</v>
      </c>
      <c r="B340" s="43">
        <f>ROUND(PAGE2!$G$104,5)</f>
        <v>0</v>
      </c>
      <c r="C340" s="43">
        <f>ROUND(PAGE2!$I$104,5)</f>
        <v>0</v>
      </c>
    </row>
    <row r="341" spans="1:3">
      <c r="A341" s="146" t="e">
        <f>$C$1&amp;".E30A.REM.CONSM._INT.14.1_15_PERCT.OS."</f>
        <v>#N/A</v>
      </c>
      <c r="B341" s="43">
        <f>ROUND(PAGE2!$L$104,5)</f>
        <v>0</v>
      </c>
      <c r="C341" s="43">
        <f>ROUND(PAGE2!$N$104,5)</f>
        <v>0</v>
      </c>
    </row>
    <row r="342" spans="1:3">
      <c r="A342" s="146" t="e">
        <f>$C$1&amp;".E30A.REM.CONSM._INT.OVR_15.1_PERCT.APPR."</f>
        <v>#N/A</v>
      </c>
      <c r="B342" s="43">
        <f>ROUND(PAGE2!$G$105,5)</f>
        <v>0</v>
      </c>
      <c r="C342" s="43">
        <f>ROUND(PAGE2!$I$105,5)</f>
        <v>0</v>
      </c>
    </row>
    <row r="343" spans="1:3">
      <c r="A343" s="146" t="e">
        <f>$C$1&amp;".E30A.REM.CONSM._INT.OVR_15.1_PERCT.OS."</f>
        <v>#N/A</v>
      </c>
      <c r="B343" s="43">
        <f>ROUND(PAGE2!$L$105,5)</f>
        <v>0</v>
      </c>
      <c r="C343" s="43">
        <f>ROUND(PAGE2!$N$105,5)</f>
        <v>0</v>
      </c>
    </row>
    <row r="344" spans="1:3">
      <c r="A344" s="146" t="e">
        <f>$C$1&amp;".E30A.REM.APPR.SEC.AGG_TTL.."</f>
        <v>#N/A</v>
      </c>
      <c r="B344" s="43">
        <f>ROUND(PAGE2!$G$107,5)</f>
        <v>0</v>
      </c>
      <c r="C344" s="43">
        <f>ROUND(PAGE2!$I$107,5)</f>
        <v>0</v>
      </c>
    </row>
    <row r="345" spans="1:3">
      <c r="A345" s="146" t="e">
        <f>$C$1&amp;".E30A.REM.OS.SEC.AGG_TTL.."</f>
        <v>#N/A</v>
      </c>
      <c r="B345" s="43">
        <f>ROUND(PAGE2!$L$107,5)</f>
        <v>0</v>
      </c>
      <c r="C345" s="43">
        <f>ROUND(PAGE2!$N$107,5)</f>
        <v>0</v>
      </c>
    </row>
    <row r="346" spans="1:3">
      <c r="A346" s="153" t="s">
        <v>161</v>
      </c>
      <c r="B346" s="43" t="s">
        <v>115</v>
      </c>
      <c r="C346" s="43" t="s">
        <v>116</v>
      </c>
    </row>
    <row r="347" spans="1:3">
      <c r="A347" s="146" t="e">
        <f>$C$1&amp;".E30A.REM.RES._INT.0_3_PERCT.DISB."</f>
        <v>#N/A</v>
      </c>
      <c r="B347" s="43">
        <f>ROUND(PAGE3!$G$21,5)</f>
        <v>0</v>
      </c>
      <c r="C347" s="43">
        <f>ROUND(PAGE3!$I$21,5)</f>
        <v>0</v>
      </c>
    </row>
    <row r="348" spans="1:3">
      <c r="A348" s="146" t="e">
        <f>$C$1&amp;".E30A.REM.RES._INT.0_3_PERCT.OS."</f>
        <v>#N/A</v>
      </c>
      <c r="B348" s="43">
        <f>ROUND(PAGE3!$L$21,5)</f>
        <v>0</v>
      </c>
      <c r="C348" s="43">
        <f>ROUND(PAGE3!$N$21,5)</f>
        <v>0</v>
      </c>
    </row>
    <row r="349" spans="1:3">
      <c r="A349" s="146" t="e">
        <f>$C$1&amp;".E30A.REM.RES._INT.3.1_4_PERCT.DISB."</f>
        <v>#N/A</v>
      </c>
      <c r="B349" s="43">
        <f>ROUND(PAGE3!$G$22,5)</f>
        <v>0</v>
      </c>
      <c r="C349" s="43">
        <f>ROUND(PAGE3!$I$22,5)</f>
        <v>0</v>
      </c>
    </row>
    <row r="350" spans="1:3">
      <c r="A350" s="146" t="e">
        <f>$C$1&amp;".E30A.REM.RES._INT.3.1_4_PERCT.OS."</f>
        <v>#N/A</v>
      </c>
      <c r="B350" s="43">
        <f>ROUND(PAGE3!$L$22,5)</f>
        <v>0</v>
      </c>
      <c r="C350" s="43">
        <f>ROUND(PAGE3!$N$22,5)</f>
        <v>0</v>
      </c>
    </row>
    <row r="351" spans="1:3">
      <c r="A351" s="146" t="e">
        <f>$C$1&amp;".E30A.REM.RES._INT.4.1_5_PERCT.DISB."</f>
        <v>#N/A</v>
      </c>
      <c r="B351" s="43">
        <f>ROUND(PAGE3!$G$23,5)</f>
        <v>0</v>
      </c>
      <c r="C351" s="43">
        <f>ROUND(PAGE3!$I$23,5)</f>
        <v>0</v>
      </c>
    </row>
    <row r="352" spans="1:3">
      <c r="A352" s="146" t="e">
        <f>$C$1&amp;".E30A.REM.RES._INT.4.1_5_PERCT.OS."</f>
        <v>#N/A</v>
      </c>
      <c r="B352" s="43">
        <f>ROUND(PAGE3!$L$23,5)</f>
        <v>0</v>
      </c>
      <c r="C352" s="43">
        <f>ROUND(PAGE3!$N$23,5)</f>
        <v>0</v>
      </c>
    </row>
    <row r="353" spans="1:3">
      <c r="A353" s="146" t="e">
        <f>$C$1&amp;".E30A.REM.RES._INT.5.1_6_PERCT.DISB."</f>
        <v>#N/A</v>
      </c>
      <c r="B353" s="43">
        <f>ROUND(PAGE3!$G$24,5)</f>
        <v>0</v>
      </c>
      <c r="C353" s="43">
        <f>ROUND(PAGE3!$I$24,5)</f>
        <v>0</v>
      </c>
    </row>
    <row r="354" spans="1:3">
      <c r="A354" s="146" t="e">
        <f>$C$1&amp;".E30A.REM.RES._INT.5.1_6_PERCT.OS."</f>
        <v>#N/A</v>
      </c>
      <c r="B354" s="43">
        <f>ROUND(PAGE3!$L$24,5)</f>
        <v>0</v>
      </c>
      <c r="C354" s="43">
        <f>ROUND(PAGE3!$N$24,5)</f>
        <v>0</v>
      </c>
    </row>
    <row r="355" spans="1:3">
      <c r="A355" s="146" t="e">
        <f>$C$1&amp;".E30A.REM.RES._INT.6.1_7_PERCT.DISB."</f>
        <v>#N/A</v>
      </c>
      <c r="B355" s="43">
        <f>ROUND(PAGE3!$G$25,5)</f>
        <v>0</v>
      </c>
      <c r="C355" s="43">
        <f>ROUND(PAGE3!$I$25,5)</f>
        <v>0</v>
      </c>
    </row>
    <row r="356" spans="1:3">
      <c r="A356" s="146" t="e">
        <f>$C$1&amp;".E30A.REM.RES._INT.6.1_7_PERCT.OS."</f>
        <v>#N/A</v>
      </c>
      <c r="B356" s="43">
        <f>ROUND(PAGE3!$L$25,5)</f>
        <v>0</v>
      </c>
      <c r="C356" s="43">
        <f>ROUND(PAGE3!$N$25,5)</f>
        <v>0</v>
      </c>
    </row>
    <row r="357" spans="1:3">
      <c r="A357" s="146" t="e">
        <f>$C$1&amp;".E30A.REM.RES._INT.7.1_8_PERCT.DISB."</f>
        <v>#N/A</v>
      </c>
      <c r="B357" s="43">
        <f>ROUND(PAGE3!$G$26,5)</f>
        <v>0</v>
      </c>
      <c r="C357" s="43">
        <f>ROUND(PAGE3!$I$26,5)</f>
        <v>0</v>
      </c>
    </row>
    <row r="358" spans="1:3">
      <c r="A358" s="146" t="e">
        <f>$C$1&amp;".E30A.REM.RES._INT.7.1_8_PERCT.OS."</f>
        <v>#N/A</v>
      </c>
      <c r="B358" s="43">
        <f>ROUND(PAGE3!$L$26,5)</f>
        <v>0</v>
      </c>
      <c r="C358" s="43">
        <f>ROUND(PAGE3!$N$26,5)</f>
        <v>0</v>
      </c>
    </row>
    <row r="359" spans="1:3">
      <c r="A359" s="146" t="e">
        <f>$C$1&amp;".E30A.REM.RES._INT.8.1_9_PERCT.DISB."</f>
        <v>#N/A</v>
      </c>
      <c r="B359" s="43">
        <f>ROUND(PAGE3!$G$27,5)</f>
        <v>0</v>
      </c>
      <c r="C359" s="43">
        <f>ROUND(PAGE3!$I$27,5)</f>
        <v>0</v>
      </c>
    </row>
    <row r="360" spans="1:3">
      <c r="A360" s="146" t="e">
        <f>$C$1&amp;".E30A.REM.RES._INT.8.1_9_PERCT.OS."</f>
        <v>#N/A</v>
      </c>
      <c r="B360" s="43">
        <f>ROUND(PAGE3!$L$27,5)</f>
        <v>0</v>
      </c>
      <c r="C360" s="43">
        <f>ROUND(PAGE3!$N$27,5)</f>
        <v>0</v>
      </c>
    </row>
    <row r="361" spans="1:3">
      <c r="A361" s="146" t="e">
        <f>$C$1&amp;".E30A.REM.RES._INT.9.1_10_PERCT.DISB."</f>
        <v>#N/A</v>
      </c>
      <c r="B361" s="43">
        <f>ROUND(PAGE3!$G$28,5)</f>
        <v>0</v>
      </c>
      <c r="C361" s="43">
        <f>ROUND(PAGE3!$I$28,5)</f>
        <v>0</v>
      </c>
    </row>
    <row r="362" spans="1:3">
      <c r="A362" s="146" t="e">
        <f>$C$1&amp;".E30A.REM.RES._INT.9.1_10_PERCT.OS."</f>
        <v>#N/A</v>
      </c>
      <c r="B362" s="43">
        <f>ROUND(PAGE3!$L$28,5)</f>
        <v>0</v>
      </c>
      <c r="C362" s="43">
        <f>ROUND(PAGE3!$N$28,5)</f>
        <v>0</v>
      </c>
    </row>
    <row r="363" spans="1:3">
      <c r="A363" s="146" t="e">
        <f>$C$1&amp;".E30A.REM.RES._INT.10.1_11_PERCT.DISB."</f>
        <v>#N/A</v>
      </c>
      <c r="B363" s="43">
        <f>ROUND(PAGE3!$G$29,5)</f>
        <v>0</v>
      </c>
      <c r="C363" s="43">
        <f>ROUND(PAGE3!$I$29,5)</f>
        <v>0</v>
      </c>
    </row>
    <row r="364" spans="1:3">
      <c r="A364" s="146" t="e">
        <f>$C$1&amp;".E30A.REM.RES._INT.10.1_11_PERCT.OS."</f>
        <v>#N/A</v>
      </c>
      <c r="B364" s="43">
        <f>ROUND(PAGE3!$L$29,5)</f>
        <v>0</v>
      </c>
      <c r="C364" s="43">
        <f>ROUND(PAGE3!$N$29,5)</f>
        <v>0</v>
      </c>
    </row>
    <row r="365" spans="1:3">
      <c r="A365" s="146" t="e">
        <f>$C$1&amp;".E30A.REM.RES._INT.11.1_12_PERCT.DISB."</f>
        <v>#N/A</v>
      </c>
      <c r="B365" s="43">
        <f>ROUND(PAGE3!$G$30,5)</f>
        <v>0</v>
      </c>
      <c r="C365" s="43">
        <f>ROUND(PAGE3!$I$30,5)</f>
        <v>0</v>
      </c>
    </row>
    <row r="366" spans="1:3">
      <c r="A366" s="146" t="e">
        <f>$C$1&amp;".E30A.REM.RES._INT.11.1_12_PERCT.OS."</f>
        <v>#N/A</v>
      </c>
      <c r="B366" s="43">
        <f>ROUND(PAGE3!$L$30,5)</f>
        <v>0</v>
      </c>
      <c r="C366" s="43">
        <f>ROUND(PAGE3!$N$30,5)</f>
        <v>0</v>
      </c>
    </row>
    <row r="367" spans="1:3">
      <c r="A367" s="146" t="e">
        <f>$C$1&amp;".E30A.REM.RES._INT.12.1_13_PERCT.DISB."</f>
        <v>#N/A</v>
      </c>
      <c r="B367" s="43">
        <f>ROUND(PAGE3!$G$31,5)</f>
        <v>0</v>
      </c>
      <c r="C367" s="43">
        <f>ROUND(PAGE3!$I$31,5)</f>
        <v>0</v>
      </c>
    </row>
    <row r="368" spans="1:3">
      <c r="A368" s="146" t="e">
        <f>$C$1&amp;".E30A.REM.RES._INT.12.1_13_PERCT.OS."</f>
        <v>#N/A</v>
      </c>
      <c r="B368" s="43">
        <f>ROUND(PAGE3!$L$31,5)</f>
        <v>0</v>
      </c>
      <c r="C368" s="43">
        <f>ROUND(PAGE3!$N$31,5)</f>
        <v>0</v>
      </c>
    </row>
    <row r="369" spans="1:3">
      <c r="A369" s="146" t="e">
        <f>$C$1&amp;".E30A.REM.RES._INT.13.1_14_PERCT.DISB."</f>
        <v>#N/A</v>
      </c>
      <c r="B369" s="43">
        <f>ROUND(PAGE3!$G$32,5)</f>
        <v>0</v>
      </c>
      <c r="C369" s="43">
        <f>ROUND(PAGE3!$I$32,5)</f>
        <v>0</v>
      </c>
    </row>
    <row r="370" spans="1:3">
      <c r="A370" s="146" t="e">
        <f>$C$1&amp;".E30A.REM.RES._INT.13.1_14_PERCT.OS."</f>
        <v>#N/A</v>
      </c>
      <c r="B370" s="43">
        <f>ROUND(PAGE3!$L$32,5)</f>
        <v>0</v>
      </c>
      <c r="C370" s="43">
        <f>ROUND(PAGE3!$N$32,5)</f>
        <v>0</v>
      </c>
    </row>
    <row r="371" spans="1:3">
      <c r="A371" s="146" t="e">
        <f>$C$1&amp;".E30A.REM.RES._INT.14.1_15_PERCT.DISB."</f>
        <v>#N/A</v>
      </c>
      <c r="B371" s="43">
        <f>ROUND(PAGE3!$G$33,5)</f>
        <v>0</v>
      </c>
      <c r="C371" s="43">
        <f>ROUND(PAGE3!$I$33,5)</f>
        <v>0</v>
      </c>
    </row>
    <row r="372" spans="1:3">
      <c r="A372" s="146" t="e">
        <f>$C$1&amp;".E30A.REM.RES._INT.14.1_15_PERCT.OS."</f>
        <v>#N/A</v>
      </c>
      <c r="B372" s="43">
        <f>ROUND(PAGE3!$L$33,5)</f>
        <v>0</v>
      </c>
      <c r="C372" s="43">
        <f>ROUND(PAGE3!$N$33,5)</f>
        <v>0</v>
      </c>
    </row>
    <row r="373" spans="1:3">
      <c r="A373" s="146" t="e">
        <f>$C$1&amp;".E30A.REM.RES._INT.OVR_15_PERCT.DISB."</f>
        <v>#N/A</v>
      </c>
      <c r="B373" s="43">
        <f>ROUND(PAGE3!$G$34,5)</f>
        <v>0</v>
      </c>
      <c r="C373" s="43">
        <f>ROUND(PAGE3!$I$34,5)</f>
        <v>0</v>
      </c>
    </row>
    <row r="374" spans="1:3">
      <c r="A374" s="146" t="e">
        <f>$C$1&amp;".E30A.REM.RES._INT.OVR_15_PERCT.OS."</f>
        <v>#N/A</v>
      </c>
      <c r="B374" s="43">
        <f>ROUND(PAGE3!$L$34,5)</f>
        <v>0</v>
      </c>
      <c r="C374" s="43">
        <f>ROUND(PAGE3!$N$34,5)</f>
        <v>0</v>
      </c>
    </row>
    <row r="375" spans="1:3">
      <c r="A375" s="146" t="e">
        <f>$C$1&amp;".E30A.REM.NRES._INT.0_3_PERCT.DISB."</f>
        <v>#N/A</v>
      </c>
      <c r="B375" s="43">
        <f>ROUND(PAGE3!$G$40,5)</f>
        <v>0</v>
      </c>
      <c r="C375" s="43">
        <f>ROUND(PAGE3!$I$40,5)</f>
        <v>0</v>
      </c>
    </row>
    <row r="376" spans="1:3">
      <c r="A376" s="146" t="e">
        <f>$C$1&amp;".E30A.REM.NRES._INT.0_3_PERCT.OS."</f>
        <v>#N/A</v>
      </c>
      <c r="B376" s="43">
        <f>ROUND(PAGE3!$L$40,5)</f>
        <v>0</v>
      </c>
      <c r="C376" s="43">
        <f>ROUND(PAGE3!$N$40,5)</f>
        <v>0</v>
      </c>
    </row>
    <row r="377" spans="1:3">
      <c r="A377" s="146" t="e">
        <f>$C$1&amp;".E30A.REM.NRES._INT.3.1_4_PERCT.DISB."</f>
        <v>#N/A</v>
      </c>
      <c r="B377" s="43">
        <f>ROUND(PAGE3!$G$41,5)</f>
        <v>0</v>
      </c>
      <c r="C377" s="43">
        <f>ROUND(PAGE3!$I$41,5)</f>
        <v>0</v>
      </c>
    </row>
    <row r="378" spans="1:3">
      <c r="A378" s="146" t="e">
        <f>$C$1&amp;".E30A.REM.NRES._INT.3.1_4_PERCT.OS."</f>
        <v>#N/A</v>
      </c>
      <c r="B378" s="43">
        <f>ROUND(PAGE3!$L$41,5)</f>
        <v>0</v>
      </c>
      <c r="C378" s="43">
        <f>ROUND(PAGE3!$N$41,5)</f>
        <v>0</v>
      </c>
    </row>
    <row r="379" spans="1:3">
      <c r="A379" s="146" t="e">
        <f>$C$1&amp;".E30A.REM.NRES._INT.4.1_5_PERCT.DISB."</f>
        <v>#N/A</v>
      </c>
      <c r="B379" s="43">
        <f>ROUND(PAGE3!$G$42,5)</f>
        <v>0</v>
      </c>
      <c r="C379" s="43">
        <f>ROUND(PAGE3!$I$42,5)</f>
        <v>0</v>
      </c>
    </row>
    <row r="380" spans="1:3">
      <c r="A380" s="146" t="e">
        <f>$C$1&amp;".E30A.REM.NRES._INT.4.1_5_PERCT.OS."</f>
        <v>#N/A</v>
      </c>
      <c r="B380" s="43">
        <f>ROUND(PAGE3!$L$42,5)</f>
        <v>0</v>
      </c>
      <c r="C380" s="43">
        <f>ROUND(PAGE3!$N$42,5)</f>
        <v>0</v>
      </c>
    </row>
    <row r="381" spans="1:3">
      <c r="A381" s="146" t="e">
        <f>$C$1&amp;".E30A.REM.NRES._INT.5.1_6_PERCT.DISB."</f>
        <v>#N/A</v>
      </c>
      <c r="B381" s="43">
        <f>ROUND(PAGE3!$G$43,5)</f>
        <v>0</v>
      </c>
      <c r="C381" s="43">
        <f>ROUND(PAGE3!$I$43,5)</f>
        <v>0</v>
      </c>
    </row>
    <row r="382" spans="1:3">
      <c r="A382" s="146" t="e">
        <f>$C$1&amp;".E30A.REM.NRES._INT.5.1_6_PERCT.OS."</f>
        <v>#N/A</v>
      </c>
      <c r="B382" s="43">
        <f>ROUND(PAGE3!$L$43,5)</f>
        <v>0</v>
      </c>
      <c r="C382" s="43">
        <f>ROUND(PAGE3!$N$43,5)</f>
        <v>0</v>
      </c>
    </row>
    <row r="383" spans="1:3">
      <c r="A383" s="146" t="e">
        <f>$C$1&amp;".E30A.REM.NRES._INT.6.1_7_PERCT.DISB."</f>
        <v>#N/A</v>
      </c>
      <c r="B383" s="43">
        <f>ROUND(PAGE3!$G$44,5)</f>
        <v>0</v>
      </c>
      <c r="C383" s="43">
        <f>ROUND(PAGE3!$I$44,5)</f>
        <v>0</v>
      </c>
    </row>
    <row r="384" spans="1:3">
      <c r="A384" s="146" t="e">
        <f>$C$1&amp;".E30A.REM.NRES._INT.6.1_7_PERCT.OS."</f>
        <v>#N/A</v>
      </c>
      <c r="B384" s="43">
        <f>ROUND(PAGE3!$L$44,5)</f>
        <v>0</v>
      </c>
      <c r="C384" s="43">
        <f>ROUND(PAGE3!$N$44,5)</f>
        <v>0</v>
      </c>
    </row>
    <row r="385" spans="1:3">
      <c r="A385" s="146" t="e">
        <f>$C$1&amp;".E30A.REM.NRES._INT.7.1_8_PERCT.DISB."</f>
        <v>#N/A</v>
      </c>
      <c r="B385" s="43">
        <f>ROUND(PAGE3!$G$45,5)</f>
        <v>0</v>
      </c>
      <c r="C385" s="43">
        <f>ROUND(PAGE3!$I$45,5)</f>
        <v>0</v>
      </c>
    </row>
    <row r="386" spans="1:3">
      <c r="A386" s="146" t="e">
        <f>$C$1&amp;".E30A.REM.NRES._INT.7.1_8_PERCT.OS."</f>
        <v>#N/A</v>
      </c>
      <c r="B386" s="43">
        <f>ROUND(PAGE3!$L$45,5)</f>
        <v>0</v>
      </c>
      <c r="C386" s="43">
        <f>ROUND(PAGE3!$N$45,5)</f>
        <v>0</v>
      </c>
    </row>
    <row r="387" spans="1:3">
      <c r="A387" s="146" t="e">
        <f>$C$1&amp;".E30A.REM.NRES._INT.8.1_9_PERCT.DISB."</f>
        <v>#N/A</v>
      </c>
      <c r="B387" s="43">
        <f>ROUND(PAGE3!$G$46,5)</f>
        <v>0</v>
      </c>
      <c r="C387" s="43">
        <f>ROUND(PAGE3!$I$46,5)</f>
        <v>0</v>
      </c>
    </row>
    <row r="388" spans="1:3">
      <c r="A388" s="146" t="e">
        <f>$C$1&amp;".E30A.REM.NRES._INT.8.1_9_PERCT.OS."</f>
        <v>#N/A</v>
      </c>
      <c r="B388" s="43">
        <f>ROUND(PAGE3!$L$46,5)</f>
        <v>0</v>
      </c>
      <c r="C388" s="43">
        <f>ROUND(PAGE3!$N$46,5)</f>
        <v>0</v>
      </c>
    </row>
    <row r="389" spans="1:3">
      <c r="A389" s="146" t="e">
        <f>$C$1&amp;".E30A.REM.NRES._INT.9.1_10_PERCT.DISB."</f>
        <v>#N/A</v>
      </c>
      <c r="B389" s="43">
        <f>ROUND(PAGE3!$G$47,5)</f>
        <v>0</v>
      </c>
      <c r="C389" s="43">
        <f>ROUND(PAGE3!$I$47,5)</f>
        <v>0</v>
      </c>
    </row>
    <row r="390" spans="1:3">
      <c r="A390" s="146" t="e">
        <f>$C$1&amp;".E30A.REM.NRES._INT.9.1_10_PERCT.OS."</f>
        <v>#N/A</v>
      </c>
      <c r="B390" s="43">
        <f>ROUND(PAGE3!$L$47,5)</f>
        <v>0</v>
      </c>
      <c r="C390" s="43">
        <f>ROUND(PAGE3!$N$47,5)</f>
        <v>0</v>
      </c>
    </row>
    <row r="391" spans="1:3">
      <c r="A391" s="146" t="e">
        <f>$C$1&amp;".E30A.REM.NRES._INT.10.1_11_PERCT.DISB."</f>
        <v>#N/A</v>
      </c>
      <c r="B391" s="43">
        <f>ROUND(PAGE3!$G$48,5)</f>
        <v>0</v>
      </c>
      <c r="C391" s="43">
        <f>ROUND(PAGE3!$I$48,5)</f>
        <v>0</v>
      </c>
    </row>
    <row r="392" spans="1:3">
      <c r="A392" s="146" t="e">
        <f>$C$1&amp;".E30A.REM.NRES._INT.10.1_11_PERCT.OS."</f>
        <v>#N/A</v>
      </c>
      <c r="B392" s="43">
        <f>ROUND(PAGE3!$L$48,5)</f>
        <v>0</v>
      </c>
      <c r="C392" s="43">
        <f>ROUND(PAGE3!$N$48,5)</f>
        <v>0</v>
      </c>
    </row>
    <row r="393" spans="1:3">
      <c r="A393" s="146" t="e">
        <f>$C$1&amp;".E30A.REM.NRES._INT.11.1_12_PERCT.DISB."</f>
        <v>#N/A</v>
      </c>
      <c r="B393" s="43">
        <f>ROUND(PAGE3!$G$49,5)</f>
        <v>0</v>
      </c>
      <c r="C393" s="43">
        <f>ROUND(PAGE3!$I$49,5)</f>
        <v>0</v>
      </c>
    </row>
    <row r="394" spans="1:3">
      <c r="A394" s="146" t="e">
        <f>$C$1&amp;".E30A.REM.NRES._INT.11.1_12_PERCT.OS."</f>
        <v>#N/A</v>
      </c>
      <c r="B394" s="43">
        <f>ROUND(PAGE3!$L$49,5)</f>
        <v>0</v>
      </c>
      <c r="C394" s="43">
        <f>ROUND(PAGE3!$N$49,5)</f>
        <v>0</v>
      </c>
    </row>
    <row r="395" spans="1:3">
      <c r="A395" s="146" t="e">
        <f>$C$1&amp;".E30A.REM.NRES._INT.12.1_13_PERCT.DISB."</f>
        <v>#N/A</v>
      </c>
      <c r="B395" s="43">
        <f>ROUND(PAGE3!$G$50,5)</f>
        <v>0</v>
      </c>
      <c r="C395" s="43">
        <f>ROUND(PAGE3!$I$50,5)</f>
        <v>0</v>
      </c>
    </row>
    <row r="396" spans="1:3">
      <c r="A396" s="146" t="e">
        <f>$C$1&amp;".E30A.REM.NRES._INT.12.1_13_PERCT.OS."</f>
        <v>#N/A</v>
      </c>
      <c r="B396" s="43">
        <f>ROUND(PAGE3!$L$50,5)</f>
        <v>0</v>
      </c>
      <c r="C396" s="43">
        <f>ROUND(PAGE3!$N$50,5)</f>
        <v>0</v>
      </c>
    </row>
    <row r="397" spans="1:3">
      <c r="A397" s="146" t="e">
        <f>$C$1&amp;".E30A.REM.NRES._INT.13.1_14_PERCT.DISB."</f>
        <v>#N/A</v>
      </c>
      <c r="B397" s="43">
        <f>ROUND(PAGE3!$G$51,5)</f>
        <v>0</v>
      </c>
      <c r="C397" s="43">
        <f>ROUND(PAGE3!$I$51,5)</f>
        <v>0</v>
      </c>
    </row>
    <row r="398" spans="1:3">
      <c r="A398" s="146" t="e">
        <f>$C$1&amp;".E30A.REM.NRES._INT.13.1_14_PERCT.OS."</f>
        <v>#N/A</v>
      </c>
      <c r="B398" s="43">
        <f>ROUND(PAGE3!$L$51,5)</f>
        <v>0</v>
      </c>
      <c r="C398" s="43">
        <f>ROUND(PAGE3!$N$51,5)</f>
        <v>0</v>
      </c>
    </row>
    <row r="399" spans="1:3">
      <c r="A399" s="146" t="e">
        <f>$C$1&amp;".E30A.REM.NRES._INT.14.1_15_PERCT.DISB."</f>
        <v>#N/A</v>
      </c>
      <c r="B399" s="43">
        <f>ROUND(PAGE3!$G$52,5)</f>
        <v>0</v>
      </c>
      <c r="C399" s="43">
        <f>ROUND(PAGE3!$I$52,5)</f>
        <v>0</v>
      </c>
    </row>
    <row r="400" spans="1:3">
      <c r="A400" s="146" t="e">
        <f>$C$1&amp;".E30A.REM.NRES._INT.14.1_15_PERCT.OS."</f>
        <v>#N/A</v>
      </c>
      <c r="B400" s="43">
        <f>ROUND(PAGE3!$L$52,5)</f>
        <v>0</v>
      </c>
      <c r="C400" s="43">
        <f>ROUND(PAGE3!$N$52,5)</f>
        <v>0</v>
      </c>
    </row>
    <row r="401" spans="1:3">
      <c r="A401" s="146" t="e">
        <f>$C$1&amp;".E30A.REM.NRES._INT.OVR_15.1_PERCT.DISB."</f>
        <v>#N/A</v>
      </c>
      <c r="B401" s="43">
        <f>ROUND(PAGE3!$G$53,5)</f>
        <v>0</v>
      </c>
      <c r="C401" s="43">
        <f>ROUND(PAGE3!$I$53,5)</f>
        <v>0</v>
      </c>
    </row>
    <row r="402" spans="1:3">
      <c r="A402" s="146" t="e">
        <f>$C$1&amp;".E30A.REM.NRES._INT.OVR_15.1_PERCT.OS."</f>
        <v>#N/A</v>
      </c>
      <c r="B402" s="43">
        <f>ROUND(PAGE3!$L$53,5)</f>
        <v>0</v>
      </c>
      <c r="C402" s="43">
        <f>ROUND(PAGE3!$N$53,5)</f>
        <v>0</v>
      </c>
    </row>
    <row r="403" spans="1:3">
      <c r="A403" s="152" t="e">
        <f>$C$1&amp;".E30A.REM.RES.DISB.TTL.."</f>
        <v>#N/A</v>
      </c>
      <c r="B403" s="43">
        <f>ROUND(PAGE3!$G$36,5)</f>
        <v>0</v>
      </c>
      <c r="C403" s="43">
        <f>ROUND(PAGE3!$I$36,5)</f>
        <v>0</v>
      </c>
    </row>
    <row r="404" spans="1:3">
      <c r="A404" s="152" t="e">
        <f>$C$1&amp;".E30A.REM.RES.OS.TTL.."</f>
        <v>#N/A</v>
      </c>
      <c r="B404" s="43">
        <f>ROUND(PAGE3!$L$36,5)</f>
        <v>0</v>
      </c>
      <c r="C404" s="43">
        <f>ROUND(PAGE3!$N$36,5)</f>
        <v>0</v>
      </c>
    </row>
    <row r="405" spans="1:3">
      <c r="A405" s="152" t="e">
        <f>$C$1&amp;".E30A.REM.NRES.DISB.TTL.."</f>
        <v>#N/A</v>
      </c>
      <c r="B405" s="43">
        <f>ROUND(PAGE3!$G$55,5)</f>
        <v>0</v>
      </c>
      <c r="C405" s="43">
        <f>ROUND(PAGE3!$I$55,5)</f>
        <v>0</v>
      </c>
    </row>
    <row r="406" spans="1:3">
      <c r="A406" s="152" t="e">
        <f>$C$1&amp;".E30A.REM.NRES.OS.TTL.."</f>
        <v>#N/A</v>
      </c>
      <c r="B406" s="43">
        <f>ROUND(PAGE3!$L$55,5)</f>
        <v>0</v>
      </c>
      <c r="C406" s="43">
        <f>ROUND(PAGE3!$N$55,5)</f>
        <v>0</v>
      </c>
    </row>
    <row r="407" spans="1:3">
      <c r="A407" s="152" t="e">
        <f>$C$1&amp;".E30A.REM.DISB.PTYPE.AGG_TTL.."</f>
        <v>#N/A</v>
      </c>
      <c r="B407" s="43">
        <f>ROUND(PAGE3!$G$58,5)</f>
        <v>0</v>
      </c>
      <c r="C407" s="43">
        <f>ROUND(PAGE3!$I$58,5)</f>
        <v>0</v>
      </c>
    </row>
    <row r="408" spans="1:3">
      <c r="A408" s="152" t="e">
        <f>$C$1&amp;".E30A.REM.OS.PTYPE.AGG_TTL.."</f>
        <v>#N/A</v>
      </c>
      <c r="B408" s="43">
        <f>ROUND(PAGE3!$L$58,5)</f>
        <v>0</v>
      </c>
      <c r="C408" s="43">
        <f>ROUND(PAGE3!$N$58,5)</f>
        <v>0</v>
      </c>
    </row>
    <row r="409" spans="1:3">
      <c r="A409" s="153" t="s">
        <v>162</v>
      </c>
      <c r="B409" s="43" t="s">
        <v>115</v>
      </c>
      <c r="C409" s="43" t="s">
        <v>116</v>
      </c>
    </row>
    <row r="410" spans="1:3">
      <c r="A410" s="146" t="e">
        <f>$C$1&amp;".E30A.REM.RENOV.APPR..."</f>
        <v>#N/A</v>
      </c>
      <c r="B410" s="43">
        <f>ROUND('PAGE4 '!$G$20,5)</f>
        <v>0</v>
      </c>
      <c r="C410" s="43">
        <f>ROUND('PAGE4 '!$I$20,5)</f>
        <v>0</v>
      </c>
    </row>
    <row r="411" spans="1:3">
      <c r="A411" s="146" t="e">
        <f>$C$1&amp;".E30A.REM.RENOV.DISB..."</f>
        <v>#N/A</v>
      </c>
      <c r="B411" s="43">
        <f>ROUND('PAGE4 '!$K$20,5)</f>
        <v>0</v>
      </c>
      <c r="C411" s="43">
        <f>ROUND('PAGE4 '!$M$20,5)</f>
        <v>0</v>
      </c>
    </row>
    <row r="412" spans="1:3">
      <c r="A412" s="146" t="e">
        <f>$C$1&amp;".E30A.REM.RENOV.OS..."</f>
        <v>#N/A</v>
      </c>
      <c r="B412" s="43">
        <f>ROUND('PAGE4 '!$O$20,5)</f>
        <v>0</v>
      </c>
      <c r="C412" s="43">
        <f>ROUND('PAGE4 '!$Q$20,5)</f>
        <v>0</v>
      </c>
    </row>
    <row r="413" spans="1:3">
      <c r="A413" s="146" t="e">
        <f>$C$1&amp;".E30A.REM.NEW_HOUSE.APPR..."</f>
        <v>#N/A</v>
      </c>
      <c r="B413" s="43">
        <f>ROUND('PAGE4 '!$G$24,5)</f>
        <v>0</v>
      </c>
      <c r="C413" s="43">
        <f>ROUND('PAGE4 '!$I$24,5)</f>
        <v>0</v>
      </c>
    </row>
    <row r="414" spans="1:3">
      <c r="A414" s="146" t="e">
        <f>$C$1&amp;".E30A.REM.NEW_HOUSE.DISB..."</f>
        <v>#N/A</v>
      </c>
      <c r="B414" s="43">
        <f>ROUND('PAGE4 '!$K$24,5)</f>
        <v>0</v>
      </c>
      <c r="C414" s="43">
        <f>ROUND('PAGE4 '!$M$24,5)</f>
        <v>0</v>
      </c>
    </row>
    <row r="415" spans="1:3">
      <c r="A415" s="146" t="e">
        <f>$C$1&amp;".E30A.REM.NEW_HOUSE.OS..."</f>
        <v>#N/A</v>
      </c>
      <c r="B415" s="43">
        <f>ROUND('PAGE4 '!$O$24,5)</f>
        <v>0</v>
      </c>
      <c r="C415" s="43">
        <f>ROUND('PAGE4 '!$Q$24,5)</f>
        <v>0</v>
      </c>
    </row>
    <row r="416" spans="1:3">
      <c r="A416" s="146" t="e">
        <f>$C$1&amp;".E30A.REM.EXIST_HOUSE.APPR..."</f>
        <v>#N/A</v>
      </c>
      <c r="B416" s="43">
        <f>ROUND('PAGE4 '!$G$27,5)</f>
        <v>0</v>
      </c>
      <c r="C416" s="43">
        <f>ROUND('PAGE4 '!$I$27,5)</f>
        <v>0</v>
      </c>
    </row>
    <row r="417" spans="1:7">
      <c r="A417" s="146" t="e">
        <f>$C$1&amp;".E30A.REM.EXIST_HOUSE.DISB..."</f>
        <v>#N/A</v>
      </c>
      <c r="B417" s="43">
        <f>ROUND('PAGE4 '!$K$27,5)</f>
        <v>0</v>
      </c>
      <c r="C417" s="43">
        <f>ROUND('PAGE4 '!$M$27,5)</f>
        <v>0</v>
      </c>
    </row>
    <row r="418" spans="1:7">
      <c r="A418" s="146" t="e">
        <f>$C$1&amp;".E30A.REM.EXIST_HOUSE.OS..."</f>
        <v>#N/A</v>
      </c>
      <c r="B418" s="43">
        <f>ROUND('PAGE4 '!$O$27,5)</f>
        <v>0</v>
      </c>
      <c r="C418" s="43">
        <f>ROUND('PAGE4 '!$Q$27,5)</f>
        <v>0</v>
      </c>
    </row>
    <row r="419" spans="1:7">
      <c r="A419" s="146" t="e">
        <f>$C$1&amp;".E30A.REM.LAND.APPR.."</f>
        <v>#N/A</v>
      </c>
      <c r="B419" s="43">
        <f>ROUND('PAGE4 '!$G$29,5)</f>
        <v>0</v>
      </c>
      <c r="C419" s="43">
        <f>ROUND('PAGE4 '!$I$29,5)</f>
        <v>0</v>
      </c>
      <c r="D419" s="143"/>
    </row>
    <row r="420" spans="1:7">
      <c r="A420" s="146" t="e">
        <f>$C$1&amp;".E30A.REM.LAND.DISB..."</f>
        <v>#N/A</v>
      </c>
      <c r="B420" s="43">
        <f>ROUND('PAGE4 '!$K$29,5)</f>
        <v>0</v>
      </c>
      <c r="C420" s="43">
        <f>ROUND('PAGE4 '!$M$29,5)</f>
        <v>0</v>
      </c>
      <c r="D420" s="143"/>
    </row>
    <row r="421" spans="1:7">
      <c r="A421" s="146" t="e">
        <f>$C$1&amp;".E30A.REM.LAND.OS.."</f>
        <v>#N/A</v>
      </c>
      <c r="B421" s="43">
        <f>ROUND('PAGE4 '!$O$29,5)</f>
        <v>0</v>
      </c>
      <c r="C421" s="43">
        <f>ROUND('PAGE4 '!$Q$29,5)</f>
        <v>0</v>
      </c>
      <c r="D421" s="143"/>
    </row>
    <row r="422" spans="1:7">
      <c r="A422" s="146" t="e">
        <f>$C$1&amp;".E30A.REM.LNS.RESCH..."</f>
        <v>#N/A</v>
      </c>
      <c r="B422" s="43">
        <f>ROUND('PAGE4 '!$O$35,5)</f>
        <v>0</v>
      </c>
      <c r="C422" s="43">
        <f>ROUND('PAGE4 '!$Q$35,5)</f>
        <v>0</v>
      </c>
      <c r="D422" s="143"/>
    </row>
    <row r="423" spans="1:7">
      <c r="A423" s="153" t="s">
        <v>164</v>
      </c>
      <c r="B423" s="43" t="s">
        <v>115</v>
      </c>
      <c r="C423" s="43"/>
      <c r="D423" s="143"/>
    </row>
    <row r="424" spans="1:7">
      <c r="A424" s="146" t="e">
        <f>$C$1&amp;".E30A.REM.LN_APP.REC.NRES.."</f>
        <v>#N/A</v>
      </c>
      <c r="B424" s="43">
        <f>ROUND('PAGE4 '!$C$47,5)</f>
        <v>0</v>
      </c>
      <c r="C424" s="43"/>
      <c r="D424" s="143"/>
    </row>
    <row r="425" spans="1:7">
      <c r="A425" s="146" t="e">
        <f>$C$1&amp;".E30A.REM.LN_APP.REC.RES.."</f>
        <v>#N/A</v>
      </c>
      <c r="B425" s="43">
        <f>ROUND('PAGE4 '!$C$45,5)</f>
        <v>0</v>
      </c>
      <c r="C425" s="43"/>
      <c r="D425" s="143"/>
    </row>
    <row r="426" spans="1:7">
      <c r="A426" s="153" t="s">
        <v>165</v>
      </c>
      <c r="B426" s="43" t="s">
        <v>163</v>
      </c>
      <c r="C426" s="43"/>
      <c r="D426" s="143"/>
    </row>
    <row r="427" spans="1:7">
      <c r="A427" s="146" t="e">
        <f>$C$1&amp;".E30A.REM.LTV_PERCT.RES.LAND.."</f>
        <v>#N/A</v>
      </c>
      <c r="B427" s="77">
        <f>ROUND('PAGE4 '!$C$53,5)</f>
        <v>0</v>
      </c>
      <c r="C427" s="43"/>
      <c r="D427" s="143"/>
    </row>
    <row r="428" spans="1:7">
      <c r="A428" s="146" t="e">
        <f>$C$1&amp;".E30A.REM.LTV_PERCT.RES.LAND_HOUSE.."</f>
        <v>#N/A</v>
      </c>
      <c r="B428" s="77">
        <f>ROUND('PAGE4 '!$I$53,5)</f>
        <v>0</v>
      </c>
      <c r="C428" s="43"/>
      <c r="D428" s="143"/>
    </row>
    <row r="429" spans="1:7">
      <c r="A429" s="146" t="e">
        <f>$C$1&amp;".E30A.REM.LTV_PERCT.NRES.LAND.."</f>
        <v>#N/A</v>
      </c>
      <c r="B429" s="77">
        <f>ROUND('PAGE4 '!$C$55,5)</f>
        <v>0</v>
      </c>
      <c r="C429" s="43"/>
      <c r="D429" s="143"/>
    </row>
    <row r="430" spans="1:7">
      <c r="A430" s="146" t="e">
        <f>$C$1&amp;".E30A.REM.LTV_PERCT.NRES.LAND_BLDG.."</f>
        <v>#N/A</v>
      </c>
      <c r="B430" s="77">
        <f>ROUND('PAGE4 '!$I$55,5)</f>
        <v>0</v>
      </c>
      <c r="C430" s="43"/>
      <c r="D430" s="143"/>
    </row>
    <row r="431" spans="1:7">
      <c r="A431" s="146" t="e">
        <f>$C$1&amp;".E30A.REM.LN_DISC.DISTR.FR.RES."</f>
        <v>#N/A</v>
      </c>
      <c r="B431" s="77">
        <f>ROUND('PAGE4 '!$I$62,5)</f>
        <v>0</v>
      </c>
      <c r="C431" s="43"/>
      <c r="D431" s="143"/>
    </row>
    <row r="432" spans="1:7">
      <c r="A432" s="146" t="e">
        <f>$C$1&amp;".E30A.REM.LN_DISC.DISTR.VR.RES."</f>
        <v>#N/A</v>
      </c>
      <c r="B432" s="77">
        <f>ROUND('PAGE4 '!$I$64,5)</f>
        <v>0</v>
      </c>
      <c r="C432" s="43"/>
      <c r="D432" s="143"/>
      <c r="G432" s="146"/>
    </row>
    <row r="433" spans="1:4">
      <c r="A433" s="146" t="e">
        <f>$C$1&amp;".E30A.REM.LN_DISC.DISTR.AR.RES."</f>
        <v>#N/A</v>
      </c>
      <c r="B433" s="77">
        <f>ROUND('PAGE4 '!$I$66,5)</f>
        <v>0</v>
      </c>
      <c r="C433" s="43"/>
    </row>
    <row r="434" spans="1:4">
      <c r="A434" s="153" t="s">
        <v>166</v>
      </c>
      <c r="B434" s="43" t="s">
        <v>115</v>
      </c>
      <c r="C434" s="43" t="s">
        <v>116</v>
      </c>
    </row>
    <row r="435" spans="1:4">
      <c r="A435" s="146" t="e">
        <f>$C$1&amp;".E30A.REM.FR.PBSEC.DISB._INT.0_3_PERCT."</f>
        <v>#N/A</v>
      </c>
      <c r="B435" s="43">
        <f>ROUND(PAGE5!$C$20,5)</f>
        <v>0</v>
      </c>
      <c r="C435" s="43">
        <f>ROUND(PAGE5!$E$20,5)</f>
        <v>0</v>
      </c>
    </row>
    <row r="436" spans="1:4">
      <c r="A436" s="146" t="e">
        <f>$C$1&amp;".E30A.REM.VAR.PBSEC.DISB._INT.0_3_PERCT."</f>
        <v>#N/A</v>
      </c>
      <c r="B436" s="43">
        <f>ROUND(PAGE5!$G$20,5)</f>
        <v>0</v>
      </c>
      <c r="C436" s="43">
        <f>ROUND(PAGE5!$I$20,5)</f>
        <v>0</v>
      </c>
      <c r="D436" s="143"/>
    </row>
    <row r="437" spans="1:4">
      <c r="A437" s="146" t="e">
        <f>$C$1&amp;".E30A.REM.ADJ.PBSEC.DISB._INT.0_3_PERCT."</f>
        <v>#N/A</v>
      </c>
      <c r="B437" s="43">
        <f>ROUND(PAGE5!$K$20,5)</f>
        <v>0</v>
      </c>
      <c r="C437" s="43">
        <f>ROUND(PAGE5!$M$20,5)</f>
        <v>0</v>
      </c>
      <c r="D437" s="143"/>
    </row>
    <row r="438" spans="1:4">
      <c r="A438" s="146" t="e">
        <f>$C$1&amp;".E30A.REM.PBSEC.DISB._INT.0_3_PERCT.TTL."</f>
        <v>#N/A</v>
      </c>
      <c r="B438" s="43">
        <f>ROUND(PAGE5!$P$20,5)</f>
        <v>0</v>
      </c>
      <c r="C438" s="43">
        <f>ROUND(PAGE5!$R$20,5)</f>
        <v>0</v>
      </c>
      <c r="D438" s="143"/>
    </row>
    <row r="439" spans="1:4" ht="12" customHeight="1">
      <c r="A439" s="146" t="e">
        <f>$C$1&amp;".E30A.REM.FR.PBSEC.DISB._INT.3.1_4_PERCT."</f>
        <v>#N/A</v>
      </c>
      <c r="B439" s="43">
        <f>ROUND(PAGE5!$C$21,5)</f>
        <v>0</v>
      </c>
      <c r="C439" s="43">
        <f>ROUND(PAGE5!$E$21,5)</f>
        <v>0</v>
      </c>
      <c r="D439" s="143"/>
    </row>
    <row r="440" spans="1:4">
      <c r="A440" s="146" t="e">
        <f>$C$1&amp;".E30A.REM.VAR.PBSEC.DISB._INT.3.1_4_PERCT."</f>
        <v>#N/A</v>
      </c>
      <c r="B440" s="43">
        <f>ROUND(PAGE5!$G$21,5)</f>
        <v>0</v>
      </c>
      <c r="C440" s="43">
        <f>ROUND(PAGE5!$I$21,5)</f>
        <v>0</v>
      </c>
      <c r="D440" s="143"/>
    </row>
    <row r="441" spans="1:4">
      <c r="A441" s="146" t="e">
        <f>$C$1&amp;".E30A.REM.ADJ.PBSEC.DISB._INT.3.1_4_PERCT."</f>
        <v>#N/A</v>
      </c>
      <c r="B441" s="43">
        <f>ROUND(PAGE5!$K$21,5)</f>
        <v>0</v>
      </c>
      <c r="C441" s="43">
        <f>ROUND(PAGE5!$M$21,5)</f>
        <v>0</v>
      </c>
      <c r="D441" s="143"/>
    </row>
    <row r="442" spans="1:4">
      <c r="A442" s="146" t="e">
        <f>$C$1&amp;".E30A.REM.PBSEC.DISB._INT.3.1_4_PERCT.TTL."</f>
        <v>#N/A</v>
      </c>
      <c r="B442" s="43">
        <f>ROUND(PAGE5!$P$21,5)</f>
        <v>0</v>
      </c>
      <c r="C442" s="43">
        <f>ROUND(PAGE5!$R$21,5)</f>
        <v>0</v>
      </c>
      <c r="D442" s="143"/>
    </row>
    <row r="443" spans="1:4">
      <c r="A443" s="146" t="e">
        <f>$C$1&amp;".E30A.REM.FR.PBSEC.DISB._INT.4.1_5_PERCT."</f>
        <v>#N/A</v>
      </c>
      <c r="B443" s="43">
        <f>ROUND(PAGE5!$C$22,5)</f>
        <v>0</v>
      </c>
      <c r="C443" s="43">
        <f>ROUND(PAGE5!$E$22,5)</f>
        <v>0</v>
      </c>
      <c r="D443" s="143"/>
    </row>
    <row r="444" spans="1:4">
      <c r="A444" s="146" t="e">
        <f>$C$1&amp;".E30A.REM.VAR.PBSEC.DISB._INT.4.1_5_PERCT."</f>
        <v>#N/A</v>
      </c>
      <c r="B444" s="43">
        <f>ROUND(PAGE5!$G$22,5)</f>
        <v>0</v>
      </c>
      <c r="C444" s="43">
        <f>ROUND(PAGE5!$I$22,5)</f>
        <v>0</v>
      </c>
      <c r="D444" s="143"/>
    </row>
    <row r="445" spans="1:4">
      <c r="A445" s="146" t="e">
        <f>$C$1&amp;".E30A.REM.ADJ.PBSEC.DISB._INT.4.1_5_PERCT."</f>
        <v>#N/A</v>
      </c>
      <c r="B445" s="43">
        <f>ROUND(PAGE5!$K$22,5)</f>
        <v>0</v>
      </c>
      <c r="C445" s="43">
        <f>ROUND(PAGE5!$M$22,5)</f>
        <v>0</v>
      </c>
      <c r="D445" s="143"/>
    </row>
    <row r="446" spans="1:4">
      <c r="A446" s="146" t="e">
        <f>$C$1&amp;".E30A.REM.PBSEC.DISB._INT.4.1_5_PERCT.TTL."</f>
        <v>#N/A</v>
      </c>
      <c r="B446" s="43">
        <f>ROUND(PAGE5!$P$22,5)</f>
        <v>0</v>
      </c>
      <c r="C446" s="43">
        <f>ROUND(PAGE5!$R$22,5)</f>
        <v>0</v>
      </c>
      <c r="D446" s="143"/>
    </row>
    <row r="447" spans="1:4">
      <c r="A447" s="146" t="e">
        <f>$C$1&amp;".E30A.REM.FR.PBSEC.DISB._INT.5.1_6_PERCT."</f>
        <v>#N/A</v>
      </c>
      <c r="B447" s="43">
        <f>ROUND(PAGE5!$C$23,5)</f>
        <v>0</v>
      </c>
      <c r="C447" s="43">
        <f>ROUND(PAGE5!$E$23,5)</f>
        <v>0</v>
      </c>
      <c r="D447" s="143"/>
    </row>
    <row r="448" spans="1:4">
      <c r="A448" s="146" t="e">
        <f>$C$1&amp;".E30A.REM.VAR.PBSEC.DISB._INT.5.1_6_PERCT."</f>
        <v>#N/A</v>
      </c>
      <c r="B448" s="43">
        <f>ROUND(PAGE5!$G$23,5)</f>
        <v>0</v>
      </c>
      <c r="C448" s="43">
        <f>ROUND(PAGE5!$I$23,5)</f>
        <v>0</v>
      </c>
      <c r="D448" s="143"/>
    </row>
    <row r="449" spans="1:3">
      <c r="A449" s="146" t="e">
        <f>$C$1&amp;".E30A.REM.ADJ.PBSEC.DISB._INT.5.1_6_PERCT."</f>
        <v>#N/A</v>
      </c>
      <c r="B449" s="43">
        <f>ROUND(PAGE5!$K$23,5)</f>
        <v>0</v>
      </c>
      <c r="C449" s="43">
        <f>ROUND(PAGE5!$M$23,5)</f>
        <v>0</v>
      </c>
    </row>
    <row r="450" spans="1:3">
      <c r="A450" s="146" t="e">
        <f>$C$1&amp;".E30A.REM.PBSEC.DISB._INT.5.1_6_PERCT.TTL."</f>
        <v>#N/A</v>
      </c>
      <c r="B450" s="43">
        <f>ROUND(PAGE5!$P$23,5)</f>
        <v>0</v>
      </c>
      <c r="C450" s="43">
        <f>ROUND(PAGE5!$R$23,5)</f>
        <v>0</v>
      </c>
    </row>
    <row r="451" spans="1:3">
      <c r="A451" s="146" t="e">
        <f>$C$1&amp;".E30A.REM.FR.PBSEC.DISB._INT.6.1_7_PERCT."</f>
        <v>#N/A</v>
      </c>
      <c r="B451" s="43">
        <f>ROUND(PAGE5!$C$24,5)</f>
        <v>0</v>
      </c>
      <c r="C451" s="43">
        <f>ROUND(PAGE5!$E$24,5)</f>
        <v>0</v>
      </c>
    </row>
    <row r="452" spans="1:3">
      <c r="A452" s="146" t="e">
        <f>$C$1&amp;".E30A.REM.VAR.PBSEC.DISB._INT.6.1_7_PERCT."</f>
        <v>#N/A</v>
      </c>
      <c r="B452" s="43">
        <f>ROUND(PAGE5!$G$24,5)</f>
        <v>0</v>
      </c>
      <c r="C452" s="43">
        <f>ROUND(PAGE5!$I$24,5)</f>
        <v>0</v>
      </c>
    </row>
    <row r="453" spans="1:3">
      <c r="A453" s="146" t="e">
        <f>$C$1&amp;".E30A.REM.ADJ.PBSEC.DISB._INT.6.1_7_PERCT."</f>
        <v>#N/A</v>
      </c>
      <c r="B453" s="43">
        <f>ROUND(PAGE5!$K$24,5)</f>
        <v>0</v>
      </c>
      <c r="C453" s="43">
        <f>ROUND(PAGE5!$M$24,5)</f>
        <v>0</v>
      </c>
    </row>
    <row r="454" spans="1:3">
      <c r="A454" s="146" t="e">
        <f>$C$1&amp;".E30A.REM.PBSEC.DISB._INT.6.1_7_PERCT.TTL."</f>
        <v>#N/A</v>
      </c>
      <c r="B454" s="43">
        <f>ROUND(PAGE5!$P$24,5)</f>
        <v>0</v>
      </c>
      <c r="C454" s="43">
        <f>ROUND(PAGE5!$R$24,5)</f>
        <v>0</v>
      </c>
    </row>
    <row r="455" spans="1:3">
      <c r="A455" s="146" t="e">
        <f>$C$1&amp;".E30A.REM.FR.PBSEC.DISB._INT.7.1_8_PERCT."</f>
        <v>#N/A</v>
      </c>
      <c r="B455" s="43">
        <f>ROUND(PAGE5!$C$25,5)</f>
        <v>0</v>
      </c>
      <c r="C455" s="43">
        <f>ROUND(PAGE5!$E$25,5)</f>
        <v>0</v>
      </c>
    </row>
    <row r="456" spans="1:3">
      <c r="A456" s="146" t="e">
        <f>$C$1&amp;".E30A.REM.VAR.PBSEC.DISB._INT.7.1_8_PERCT."</f>
        <v>#N/A</v>
      </c>
      <c r="B456" s="43">
        <f>ROUND(PAGE5!$G$25,5)</f>
        <v>0</v>
      </c>
      <c r="C456" s="43">
        <f>ROUND(PAGE5!$I$25,5)</f>
        <v>0</v>
      </c>
    </row>
    <row r="457" spans="1:3">
      <c r="A457" s="146" t="e">
        <f>$C$1&amp;".E30A.REM.ADJ.PBSEC.DISB._INT.7.1_8_PERCT."</f>
        <v>#N/A</v>
      </c>
      <c r="B457" s="43">
        <f>ROUND(PAGE5!$K$25,5)</f>
        <v>0</v>
      </c>
      <c r="C457" s="43">
        <f>ROUND(PAGE5!$M$25,5)</f>
        <v>0</v>
      </c>
    </row>
    <row r="458" spans="1:3">
      <c r="A458" s="146" t="e">
        <f>$C$1&amp;".E30A.REM.PBSEC.DISB._INT.7.1_8_PERCT.TTL."</f>
        <v>#N/A</v>
      </c>
      <c r="B458" s="43">
        <f>ROUND(PAGE5!$P$25,5)</f>
        <v>0</v>
      </c>
      <c r="C458" s="43">
        <f>ROUND(PAGE5!$R$25,5)</f>
        <v>0</v>
      </c>
    </row>
    <row r="459" spans="1:3">
      <c r="A459" s="146" t="e">
        <f>$C$1&amp;".E30A.REM.FR.PBSEC.DISB._INT.8.1_9_PERCT."</f>
        <v>#N/A</v>
      </c>
      <c r="B459" s="43">
        <f>ROUND(PAGE5!$C$26,5)</f>
        <v>0</v>
      </c>
      <c r="C459" s="43">
        <f>ROUND(PAGE5!$E$26,5)</f>
        <v>0</v>
      </c>
    </row>
    <row r="460" spans="1:3">
      <c r="A460" s="146" t="e">
        <f>$C$1&amp;".E30A.REM.VAR.PBSEC.DISB._INT.8.1_9_PERCT."</f>
        <v>#N/A</v>
      </c>
      <c r="B460" s="43">
        <f>ROUND(PAGE5!$G$26,5)</f>
        <v>0</v>
      </c>
      <c r="C460" s="43">
        <f>ROUND(PAGE5!$I$26,5)</f>
        <v>0</v>
      </c>
    </row>
    <row r="461" spans="1:3">
      <c r="A461" s="146" t="e">
        <f>$C$1&amp;".E30A.REM.ADJ.PBSEC.DISB._INT.8.1_9_PERCT."</f>
        <v>#N/A</v>
      </c>
      <c r="B461" s="43">
        <f>ROUND(PAGE5!$K$26,5)</f>
        <v>0</v>
      </c>
      <c r="C461" s="43">
        <f>ROUND(PAGE5!$M$26,5)</f>
        <v>0</v>
      </c>
    </row>
    <row r="462" spans="1:3">
      <c r="A462" s="146" t="e">
        <f>$C$1&amp;".E30A.REM.PBSEC.DISB._INT.8.1_9_PERCT.TTL."</f>
        <v>#N/A</v>
      </c>
      <c r="B462" s="43">
        <f>ROUND(PAGE5!$P$26,5)</f>
        <v>0</v>
      </c>
      <c r="C462" s="43">
        <f>ROUND(PAGE5!$R$26,5)</f>
        <v>0</v>
      </c>
    </row>
    <row r="463" spans="1:3">
      <c r="A463" s="146" t="e">
        <f>$C$1&amp;".E30A.REM.FR.PBSEC.DISB._INT.9.1_10_PERCT."</f>
        <v>#N/A</v>
      </c>
      <c r="B463" s="43">
        <f>ROUND(PAGE5!$C$27,5)</f>
        <v>0</v>
      </c>
      <c r="C463" s="43">
        <f>ROUND(PAGE5!$E$27,5)</f>
        <v>0</v>
      </c>
    </row>
    <row r="464" spans="1:3">
      <c r="A464" s="146" t="e">
        <f>$C$1&amp;".E30A.REM.VAR.PBSEC.DISB._INT.9.1_10_PERCT."</f>
        <v>#N/A</v>
      </c>
      <c r="B464" s="43">
        <f>ROUND(PAGE5!$G$27,5)</f>
        <v>0</v>
      </c>
      <c r="C464" s="43">
        <f>ROUND(PAGE5!$I$27,5)</f>
        <v>0</v>
      </c>
    </row>
    <row r="465" spans="1:3">
      <c r="A465" s="146" t="e">
        <f>$C$1&amp;".E30A.REM.ADJ.PBSEC.DISB._INT.9.1_10_PERCT."</f>
        <v>#N/A</v>
      </c>
      <c r="B465" s="43">
        <f>ROUND(PAGE5!$K$27,5)</f>
        <v>0</v>
      </c>
      <c r="C465" s="43">
        <f>ROUND(PAGE5!$M$27,5)</f>
        <v>0</v>
      </c>
    </row>
    <row r="466" spans="1:3">
      <c r="A466" s="146" t="e">
        <f>$C$1&amp;".E30A.REM.PBSEC.DISB._INT.9.1_10_PERCT.TTL."</f>
        <v>#N/A</v>
      </c>
      <c r="B466" s="43">
        <f>ROUND(PAGE5!$P$27,5)</f>
        <v>0</v>
      </c>
      <c r="C466" s="43">
        <f>ROUND(PAGE5!$R$27,5)</f>
        <v>0</v>
      </c>
    </row>
    <row r="467" spans="1:3">
      <c r="A467" s="146" t="e">
        <f>$C$1&amp;".E30A.REM.FR.PBSEC.DISB._INT.10.1_11_PERCT."</f>
        <v>#N/A</v>
      </c>
      <c r="B467" s="43">
        <f>ROUND(PAGE5!$C$28,5)</f>
        <v>0</v>
      </c>
      <c r="C467" s="43">
        <f>ROUND(PAGE5!$E$28,5)</f>
        <v>0</v>
      </c>
    </row>
    <row r="468" spans="1:3">
      <c r="A468" s="146" t="e">
        <f>$C$1&amp;".E30A.REM.VAR.PBSEC.DISB._INT.10.1_11_PERCT."</f>
        <v>#N/A</v>
      </c>
      <c r="B468" s="43">
        <f>ROUND(PAGE5!$G$28,5)</f>
        <v>0</v>
      </c>
      <c r="C468" s="43">
        <f>ROUND(PAGE5!$I$28,5)</f>
        <v>0</v>
      </c>
    </row>
    <row r="469" spans="1:3">
      <c r="A469" s="146" t="e">
        <f>$C$1&amp;".E30A.REM.ADJ.PBSEC.DISB._INT.10.1_11_PERCT."</f>
        <v>#N/A</v>
      </c>
      <c r="B469" s="43">
        <f>ROUND(PAGE5!$K$28,5)</f>
        <v>0</v>
      </c>
      <c r="C469" s="43">
        <f>ROUND(PAGE5!$M$28,5)</f>
        <v>0</v>
      </c>
    </row>
    <row r="470" spans="1:3">
      <c r="A470" s="146" t="e">
        <f>$C$1&amp;".E30A.REM.PBSEC.DISB._INT.10.1_11_PERCT.TTL."</f>
        <v>#N/A</v>
      </c>
      <c r="B470" s="43">
        <f>ROUND(PAGE5!$P$28,5)</f>
        <v>0</v>
      </c>
      <c r="C470" s="43">
        <f>ROUND(PAGE5!$R$28,5)</f>
        <v>0</v>
      </c>
    </row>
    <row r="471" spans="1:3">
      <c r="A471" s="146" t="e">
        <f>$C$1&amp;".E30A.REM.FR.PBSEC.DISB._INT.11.1_12_PERCT."</f>
        <v>#N/A</v>
      </c>
      <c r="B471" s="43">
        <f>ROUND(PAGE5!$C$29,5)</f>
        <v>0</v>
      </c>
      <c r="C471" s="43">
        <f>ROUND(PAGE5!$E$29,5)</f>
        <v>0</v>
      </c>
    </row>
    <row r="472" spans="1:3">
      <c r="A472" s="146" t="e">
        <f>$C$1&amp;".E30A.REM.VAR.PBSEC.DISB._INT.11.1_12_PERCT."</f>
        <v>#N/A</v>
      </c>
      <c r="B472" s="43">
        <f>ROUND(PAGE5!$G$29,5)</f>
        <v>0</v>
      </c>
      <c r="C472" s="43">
        <f>ROUND(PAGE5!$I$29,5)</f>
        <v>0</v>
      </c>
    </row>
    <row r="473" spans="1:3">
      <c r="A473" s="146" t="e">
        <f>$C$1&amp;".E30A.REM.ADJ.PBSEC.DISB._INT.11.1_12_PERCT."</f>
        <v>#N/A</v>
      </c>
      <c r="B473" s="43">
        <f>ROUND(PAGE5!$K$29,5)</f>
        <v>0</v>
      </c>
      <c r="C473" s="43">
        <f>ROUND(PAGE5!$M$29,5)</f>
        <v>0</v>
      </c>
    </row>
    <row r="474" spans="1:3">
      <c r="A474" s="146" t="e">
        <f>$C$1&amp;".E30A.REM.PBSEC.DISB._INT.11.1_12_PERCT.TTL."</f>
        <v>#N/A</v>
      </c>
      <c r="B474" s="43">
        <f>ROUND(PAGE5!$P$29,5)</f>
        <v>0</v>
      </c>
      <c r="C474" s="43">
        <f>ROUND(PAGE5!$R$29,5)</f>
        <v>0</v>
      </c>
    </row>
    <row r="475" spans="1:3">
      <c r="A475" s="146" t="e">
        <f>$C$1&amp;".E30A.REM.FR.PBSEC.DISB._INT.12.1_13_PERCT."</f>
        <v>#N/A</v>
      </c>
      <c r="B475" s="43">
        <f>ROUND(PAGE5!$C$30,5)</f>
        <v>0</v>
      </c>
      <c r="C475" s="43">
        <f>ROUND(PAGE5!$E$30,5)</f>
        <v>0</v>
      </c>
    </row>
    <row r="476" spans="1:3">
      <c r="A476" s="146" t="e">
        <f>$C$1&amp;".E30A.REM.VAR.PBSEC.DISB._INT.12.1_13_PERCT."</f>
        <v>#N/A</v>
      </c>
      <c r="B476" s="43">
        <f>ROUND(PAGE5!$G$30,5)</f>
        <v>0</v>
      </c>
      <c r="C476" s="43">
        <f>ROUND(PAGE5!$I$30,5)</f>
        <v>0</v>
      </c>
    </row>
    <row r="477" spans="1:3">
      <c r="A477" s="146" t="e">
        <f>$C$1&amp;".E30A.REM.ADJ.PBSEC.DISB._INT.12.1_13_PERCT."</f>
        <v>#N/A</v>
      </c>
      <c r="B477" s="43">
        <f>ROUND(PAGE5!$K$30,5)</f>
        <v>0</v>
      </c>
      <c r="C477" s="43">
        <f>ROUND(PAGE5!$M$30,5)</f>
        <v>0</v>
      </c>
    </row>
    <row r="478" spans="1:3">
      <c r="A478" s="146" t="e">
        <f>$C$1&amp;".E30A.REM.PBSEC.DISB._INT.12.1_13_PERCT.TTL."</f>
        <v>#N/A</v>
      </c>
      <c r="B478" s="43">
        <f>ROUND(PAGE5!$P$30,5)</f>
        <v>0</v>
      </c>
      <c r="C478" s="43">
        <f>ROUND(PAGE5!$R$30,5)</f>
        <v>0</v>
      </c>
    </row>
    <row r="479" spans="1:3">
      <c r="A479" s="146" t="e">
        <f>$C$1&amp;".E30A.REM.FR.PBSEC.DISB._INT.13.1_14_PERCT."</f>
        <v>#N/A</v>
      </c>
      <c r="B479" s="43">
        <f>ROUND(PAGE5!$C$31,5)</f>
        <v>0</v>
      </c>
      <c r="C479" s="43">
        <f>ROUND(PAGE5!$E$31,5)</f>
        <v>0</v>
      </c>
    </row>
    <row r="480" spans="1:3">
      <c r="A480" s="146" t="e">
        <f>$C$1&amp;".E30A.REM.VAR.PBSEC.DISB._INT.13.1_14_PERCT."</f>
        <v>#N/A</v>
      </c>
      <c r="B480" s="43">
        <f>ROUND(PAGE5!$G$31,5)</f>
        <v>0</v>
      </c>
      <c r="C480" s="43">
        <f>ROUND(PAGE5!$I$31,5)</f>
        <v>0</v>
      </c>
    </row>
    <row r="481" spans="1:3">
      <c r="A481" s="146" t="e">
        <f>$C$1&amp;".E30A.REM.ADJ.PBSEC.DISB._INT.13.1_14_PERCT."</f>
        <v>#N/A</v>
      </c>
      <c r="B481" s="43">
        <f>ROUND(PAGE5!$K$31,5)</f>
        <v>0</v>
      </c>
      <c r="C481" s="43">
        <f>ROUND(PAGE5!$M$31,5)</f>
        <v>0</v>
      </c>
    </row>
    <row r="482" spans="1:3">
      <c r="A482" s="146" t="e">
        <f>$C$1&amp;".E30A.REM.PBSEC.DISB._INT.13.1_14_PERCT.TTL."</f>
        <v>#N/A</v>
      </c>
      <c r="B482" s="43">
        <f>ROUND(PAGE5!$P$31,5)</f>
        <v>0</v>
      </c>
      <c r="C482" s="43">
        <f>ROUND(PAGE5!$R$31,5)</f>
        <v>0</v>
      </c>
    </row>
    <row r="483" spans="1:3">
      <c r="A483" s="146" t="e">
        <f>$C$1&amp;".E30A.REM.FR.PBSEC.DISB._INT.14.1_15_PERCT."</f>
        <v>#N/A</v>
      </c>
      <c r="B483" s="43">
        <f>ROUND(PAGE5!$C$32,5)</f>
        <v>0</v>
      </c>
      <c r="C483" s="43">
        <f>ROUND(PAGE5!$E$32,5)</f>
        <v>0</v>
      </c>
    </row>
    <row r="484" spans="1:3">
      <c r="A484" s="146" t="e">
        <f>$C$1&amp;".E30A.REM.VAR.PBSEC.DISB._INT.14.1_15_PERCT."</f>
        <v>#N/A</v>
      </c>
      <c r="B484" s="43">
        <f>ROUND(PAGE5!$G$32,5)</f>
        <v>0</v>
      </c>
      <c r="C484" s="43">
        <f>ROUND(PAGE5!$I$32,5)</f>
        <v>0</v>
      </c>
    </row>
    <row r="485" spans="1:3">
      <c r="A485" s="146" t="e">
        <f>$C$1&amp;".E30A.REM.ADJ.PBSEC.DISB._INT.14.1_15_PERCT."</f>
        <v>#N/A</v>
      </c>
      <c r="B485" s="43">
        <f>ROUND(PAGE5!$K$32,5)</f>
        <v>0</v>
      </c>
      <c r="C485" s="43">
        <f>ROUND(PAGE5!$M$32,5)</f>
        <v>0</v>
      </c>
    </row>
    <row r="486" spans="1:3">
      <c r="A486" s="146" t="e">
        <f>$C$1&amp;".E30A.REM.PBSEC.DISB._INT.14.1_15_PERCT.TTL."</f>
        <v>#N/A</v>
      </c>
      <c r="B486" s="43">
        <f>ROUND(PAGE5!$P$32,5)</f>
        <v>0</v>
      </c>
      <c r="C486" s="43">
        <f>ROUND(PAGE5!$R$32,5)</f>
        <v>0</v>
      </c>
    </row>
    <row r="487" spans="1:3">
      <c r="A487" s="146" t="e">
        <f>$C$1&amp;".E30A.REM.FR.PBSEC.DISB._INT.OVR_15.1_PERCT."</f>
        <v>#N/A</v>
      </c>
      <c r="B487" s="43">
        <f>ROUND(PAGE5!$C$33,5)</f>
        <v>0</v>
      </c>
      <c r="C487" s="43">
        <f>ROUND(PAGE5!$E$33,5)</f>
        <v>0</v>
      </c>
    </row>
    <row r="488" spans="1:3">
      <c r="A488" s="146" t="e">
        <f>$C$1&amp;".E30A.REM.VAR.PBSEC.DISB._INT.OVR_15.1_PERCT."</f>
        <v>#N/A</v>
      </c>
      <c r="B488" s="43">
        <f>ROUND(PAGE5!$G$33,5)</f>
        <v>0</v>
      </c>
      <c r="C488" s="43">
        <f>ROUND(PAGE5!$I$33,5)</f>
        <v>0</v>
      </c>
    </row>
    <row r="489" spans="1:3">
      <c r="A489" s="146" t="e">
        <f>$C$1&amp;".E30A.REM.ADJ.PBSEC.DISB._INT.OVR_15.1_PERCT."</f>
        <v>#N/A</v>
      </c>
      <c r="B489" s="43">
        <f>ROUND(PAGE5!$K$33,5)</f>
        <v>0</v>
      </c>
      <c r="C489" s="43">
        <f>ROUND(PAGE5!$M$33,5)</f>
        <v>0</v>
      </c>
    </row>
    <row r="490" spans="1:3">
      <c r="A490" s="146" t="e">
        <f>$C$1&amp;".E30A.REM.PBSEC.DISB._INT.OVR_15.1_PERCT.TTL."</f>
        <v>#N/A</v>
      </c>
      <c r="B490" s="43">
        <f>ROUND(PAGE5!$P$33,5)</f>
        <v>0</v>
      </c>
      <c r="C490" s="43">
        <f>ROUND(PAGE5!$R$33,5)</f>
        <v>0</v>
      </c>
    </row>
    <row r="491" spans="1:3">
      <c r="A491" s="146" t="e">
        <f>$C$1&amp;".E30A.REM.FR.PVFIN.DISB._INT.0_3_PERCT."</f>
        <v>#N/A</v>
      </c>
      <c r="B491" s="43">
        <f>ROUND(PAGE5!$C$39,5)</f>
        <v>0</v>
      </c>
      <c r="C491" s="43">
        <f>ROUND(PAGE5!$E$39,5)</f>
        <v>0</v>
      </c>
    </row>
    <row r="492" spans="1:3">
      <c r="A492" s="146" t="e">
        <f>$C$1&amp;".E30A.REM.VAR.PVFIN.DISB._INT.0_3_PERCT."</f>
        <v>#N/A</v>
      </c>
      <c r="B492" s="43">
        <f>ROUND(PAGE5!$G$39,5)</f>
        <v>0</v>
      </c>
      <c r="C492" s="43">
        <f>ROUND(PAGE5!$I$39,5)</f>
        <v>0</v>
      </c>
    </row>
    <row r="493" spans="1:3">
      <c r="A493" s="146" t="e">
        <f>$C$1&amp;".E30A.REM.ADJ.PVFIN.DISB._INT.0_3_PERCT."</f>
        <v>#N/A</v>
      </c>
      <c r="B493" s="43">
        <f>ROUND(PAGE5!$K$39,5)</f>
        <v>0</v>
      </c>
      <c r="C493" s="43">
        <f>ROUND(PAGE5!$M$39,5)</f>
        <v>0</v>
      </c>
    </row>
    <row r="494" spans="1:3">
      <c r="A494" s="146" t="e">
        <f>$C$1&amp;".E30A.REM.PVFIN.DISB._INT.0_3_PERCT.TTL."</f>
        <v>#N/A</v>
      </c>
      <c r="B494" s="43">
        <f>ROUND(PAGE5!$P$39,5)</f>
        <v>0</v>
      </c>
      <c r="C494" s="43">
        <f>ROUND(PAGE5!$R$39,5)</f>
        <v>0</v>
      </c>
    </row>
    <row r="495" spans="1:3">
      <c r="A495" s="146" t="e">
        <f>$C$1&amp;".E30A.REM.FR.PVFIN.DISB._INT.3.1_4_PERCT."</f>
        <v>#N/A</v>
      </c>
      <c r="B495" s="43">
        <f>ROUND(PAGE5!$C$40,5)</f>
        <v>0</v>
      </c>
      <c r="C495" s="43">
        <f>ROUND(PAGE5!$E$40,5)</f>
        <v>0</v>
      </c>
    </row>
    <row r="496" spans="1:3">
      <c r="A496" s="146" t="e">
        <f>$C$1&amp;".E30A.REM.VAR.PVFIN.DISB._INT.3.1_4_PERCT."</f>
        <v>#N/A</v>
      </c>
      <c r="B496" s="43">
        <f>ROUND(PAGE5!$G$40,5)</f>
        <v>0</v>
      </c>
      <c r="C496" s="43">
        <f>ROUND(PAGE5!$I$40,5)</f>
        <v>0</v>
      </c>
    </row>
    <row r="497" spans="1:3">
      <c r="A497" s="146" t="e">
        <f>$C$1&amp;".E30A.REM.ADJ.PVFIN.DISB._INT.3.1_4_PERCT."</f>
        <v>#N/A</v>
      </c>
      <c r="B497" s="43">
        <f>ROUND(PAGE5!$K$40,5)</f>
        <v>0</v>
      </c>
      <c r="C497" s="43">
        <f>ROUND(PAGE5!$M$40,5)</f>
        <v>0</v>
      </c>
    </row>
    <row r="498" spans="1:3">
      <c r="A498" s="146" t="e">
        <f>$C$1&amp;".E30A.REM.PVFIN.DISB._INT.3.1_4_PERCT.TTL."</f>
        <v>#N/A</v>
      </c>
      <c r="B498" s="43">
        <f>ROUND(PAGE5!$P$40,5)</f>
        <v>0</v>
      </c>
      <c r="C498" s="43">
        <f>ROUND(PAGE5!$R$40,5)</f>
        <v>0</v>
      </c>
    </row>
    <row r="499" spans="1:3">
      <c r="A499" s="146" t="e">
        <f>$C$1&amp;".E30A.REM.FR.PVFIN.DISB._INT.4.1_5_PERCT."</f>
        <v>#N/A</v>
      </c>
      <c r="B499" s="43">
        <f>ROUND(PAGE5!$C$41,5)</f>
        <v>0</v>
      </c>
      <c r="C499" s="43">
        <f>ROUND(PAGE5!$E$41,5)</f>
        <v>0</v>
      </c>
    </row>
    <row r="500" spans="1:3">
      <c r="A500" s="146" t="e">
        <f>$C$1&amp;".E30A.REM.VAR.PVFIN.DISB._INT.4.1_5_PERCT."</f>
        <v>#N/A</v>
      </c>
      <c r="B500" s="43">
        <f>ROUND(PAGE5!$G$41,5)</f>
        <v>0</v>
      </c>
      <c r="C500" s="43">
        <f>ROUND(PAGE5!$I$41,5)</f>
        <v>0</v>
      </c>
    </row>
    <row r="501" spans="1:3">
      <c r="A501" s="146" t="e">
        <f>$C$1&amp;".E30A.REM.ADJ.PVFIN.DISB._INT.4.1_5_PERCT."</f>
        <v>#N/A</v>
      </c>
      <c r="B501" s="43">
        <f>ROUND(PAGE5!$K$41,5)</f>
        <v>0</v>
      </c>
      <c r="C501" s="43">
        <f>ROUND(PAGE5!$M$41,5)</f>
        <v>0</v>
      </c>
    </row>
    <row r="502" spans="1:3">
      <c r="A502" s="146" t="e">
        <f>$C$1&amp;".E30A.REM.PVFIN.DISB._INT.4.1_5_PERCT.TTL."</f>
        <v>#N/A</v>
      </c>
      <c r="B502" s="43">
        <f>ROUND(PAGE5!$P$41,5)</f>
        <v>0</v>
      </c>
      <c r="C502" s="43">
        <f>ROUND(PAGE5!$R$41,5)</f>
        <v>0</v>
      </c>
    </row>
    <row r="503" spans="1:3">
      <c r="A503" s="146" t="e">
        <f>$C$1&amp;".E30A.REM.FR.PVFIN.DISB._INT.5.1_6_PERCT."</f>
        <v>#N/A</v>
      </c>
      <c r="B503" s="43">
        <f>ROUND(PAGE5!$C$42,5)</f>
        <v>0</v>
      </c>
      <c r="C503" s="43">
        <f>ROUND(PAGE5!$E$42,5)</f>
        <v>0</v>
      </c>
    </row>
    <row r="504" spans="1:3">
      <c r="A504" s="146" t="e">
        <f>$C$1&amp;".E30A.REM.VAR.PVFIN.DISB._INT.5.1_6_PERCT."</f>
        <v>#N/A</v>
      </c>
      <c r="B504" s="43">
        <f>ROUND(PAGE5!$G$42,5)</f>
        <v>0</v>
      </c>
      <c r="C504" s="43">
        <f>ROUND(PAGE5!$I$42,5)</f>
        <v>0</v>
      </c>
    </row>
    <row r="505" spans="1:3">
      <c r="A505" s="146" t="e">
        <f>$C$1&amp;".E30A.REM.ADJ.PVFIN.DISB._INT.5.1_6_PERCT."</f>
        <v>#N/A</v>
      </c>
      <c r="B505" s="43">
        <f>ROUND(PAGE5!$K$42,5)</f>
        <v>0</v>
      </c>
      <c r="C505" s="43">
        <f>ROUND(PAGE5!$M$42,5)</f>
        <v>0</v>
      </c>
    </row>
    <row r="506" spans="1:3">
      <c r="A506" s="146" t="e">
        <f>$C$1&amp;".E30A.REM.PVFIN.DISB._INT.5.1_6_PERCT.TTL."</f>
        <v>#N/A</v>
      </c>
      <c r="B506" s="43">
        <f>ROUND(PAGE5!$P$42,5)</f>
        <v>0</v>
      </c>
      <c r="C506" s="43">
        <f>ROUND(PAGE5!$R$42,5)</f>
        <v>0</v>
      </c>
    </row>
    <row r="507" spans="1:3">
      <c r="A507" s="146" t="e">
        <f>$C$1&amp;".E30A.REM.FR.PVFIN.DISB._INT.6.1_7_PERCT."</f>
        <v>#N/A</v>
      </c>
      <c r="B507" s="43">
        <f>ROUND(PAGE5!$C$43,5)</f>
        <v>0</v>
      </c>
      <c r="C507" s="43">
        <f>ROUND(PAGE5!$E$43,5)</f>
        <v>0</v>
      </c>
    </row>
    <row r="508" spans="1:3">
      <c r="A508" s="146" t="e">
        <f>$C$1&amp;".E30A.REM.VAR.PVFIN.DISB._INT.6.1_7_PERCT."</f>
        <v>#N/A</v>
      </c>
      <c r="B508" s="43">
        <f>ROUND(PAGE5!$G$43,5)</f>
        <v>0</v>
      </c>
      <c r="C508" s="43">
        <f>ROUND(PAGE5!$I$43,5)</f>
        <v>0</v>
      </c>
    </row>
    <row r="509" spans="1:3">
      <c r="A509" s="146" t="e">
        <f>$C$1&amp;".E30A.REM.ADJ.PVFIN.DISB._INT.6.1_7_PERCT."</f>
        <v>#N/A</v>
      </c>
      <c r="B509" s="43">
        <f>ROUND(PAGE5!$K$43,5)</f>
        <v>0</v>
      </c>
      <c r="C509" s="43">
        <f>ROUND(PAGE5!$M$43,5)</f>
        <v>0</v>
      </c>
    </row>
    <row r="510" spans="1:3">
      <c r="A510" s="146" t="e">
        <f>$C$1&amp;".E30A.REM.PVFIN.DISB._INT.6.1_7_PERCT.TTL."</f>
        <v>#N/A</v>
      </c>
      <c r="B510" s="43">
        <f>ROUND(PAGE5!$P$43,5)</f>
        <v>0</v>
      </c>
      <c r="C510" s="43">
        <f>ROUND(PAGE5!$R$43,5)</f>
        <v>0</v>
      </c>
    </row>
    <row r="511" spans="1:3">
      <c r="A511" s="146" t="e">
        <f>$C$1&amp;".E30A.REM.FR.PVFIN.DISB._INT.7.1_8_PERCT."</f>
        <v>#N/A</v>
      </c>
      <c r="B511" s="43">
        <f>ROUND(PAGE5!$C$44,5)</f>
        <v>0</v>
      </c>
      <c r="C511" s="43">
        <f>ROUND(PAGE5!$E$44,5)</f>
        <v>0</v>
      </c>
    </row>
    <row r="512" spans="1:3">
      <c r="A512" s="146" t="e">
        <f>$C$1&amp;".E30A.REM.VAR.PVFIN.DISB._INT.7.1_8_PERCT."</f>
        <v>#N/A</v>
      </c>
      <c r="B512" s="43">
        <f>ROUND(PAGE5!$G$44,5)</f>
        <v>0</v>
      </c>
      <c r="C512" s="43">
        <f>ROUND(PAGE5!$I$44,5)</f>
        <v>0</v>
      </c>
    </row>
    <row r="513" spans="1:3">
      <c r="A513" s="146" t="e">
        <f>$C$1&amp;".E30A.REM.ADJ.PVFIN.DISB._INT.7.1_8_PERCT."</f>
        <v>#N/A</v>
      </c>
      <c r="B513" s="43">
        <f>ROUND(PAGE5!$K$44,5)</f>
        <v>0</v>
      </c>
      <c r="C513" s="43">
        <f>ROUND(PAGE5!$M$44,5)</f>
        <v>0</v>
      </c>
    </row>
    <row r="514" spans="1:3">
      <c r="A514" s="146" t="e">
        <f>$C$1&amp;".E30A.REM.PVFIN.DISB._INT.7.1_8_PERCT.TTL."</f>
        <v>#N/A</v>
      </c>
      <c r="B514" s="43">
        <f>ROUND(PAGE5!$P$44,5)</f>
        <v>0</v>
      </c>
      <c r="C514" s="43">
        <f>ROUND(PAGE5!$R$44,5)</f>
        <v>0</v>
      </c>
    </row>
    <row r="515" spans="1:3">
      <c r="A515" s="146" t="e">
        <f>$C$1&amp;".E30A.REM.FR.PVFIN.DISB._INT.8.1_9_PERCT."</f>
        <v>#N/A</v>
      </c>
      <c r="B515" s="43">
        <f>ROUND(PAGE5!$C$45,5)</f>
        <v>0</v>
      </c>
      <c r="C515" s="43">
        <f>ROUND(PAGE5!$E$45,5)</f>
        <v>0</v>
      </c>
    </row>
    <row r="516" spans="1:3">
      <c r="A516" s="146" t="e">
        <f>$C$1&amp;".E30A.REM.VAR.PVFIN.DISB._INT.8.1_9_PERCT."</f>
        <v>#N/A</v>
      </c>
      <c r="B516" s="43">
        <f>ROUND(PAGE5!$G$45,5)</f>
        <v>0</v>
      </c>
      <c r="C516" s="43">
        <f>ROUND(PAGE5!$I$45,5)</f>
        <v>0</v>
      </c>
    </row>
    <row r="517" spans="1:3">
      <c r="A517" s="146" t="e">
        <f>$C$1&amp;".E30A.REM.ADJ.PVFIN.DISB._INT.8.1_9_PERCT."</f>
        <v>#N/A</v>
      </c>
      <c r="B517" s="43">
        <f>ROUND(PAGE5!$K$45,5)</f>
        <v>0</v>
      </c>
      <c r="C517" s="43">
        <f>ROUND(PAGE5!$M$45,5)</f>
        <v>0</v>
      </c>
    </row>
    <row r="518" spans="1:3">
      <c r="A518" s="146" t="e">
        <f>$C$1&amp;".E30A.REM.PVFIN.DISB._INT.8.1_9_PERCT.TTL."</f>
        <v>#N/A</v>
      </c>
      <c r="B518" s="43">
        <f>ROUND(PAGE5!$P$45,5)</f>
        <v>0</v>
      </c>
      <c r="C518" s="43">
        <f>ROUND(PAGE5!$R$45,5)</f>
        <v>0</v>
      </c>
    </row>
    <row r="519" spans="1:3">
      <c r="A519" s="146" t="e">
        <f>$C$1&amp;".E30A.REM.FR.PVFIN.DISB._INT.9.1_10_PERCT."</f>
        <v>#N/A</v>
      </c>
      <c r="B519" s="43">
        <f>ROUND(PAGE5!$C$46,5)</f>
        <v>0</v>
      </c>
      <c r="C519" s="43">
        <f>ROUND(PAGE5!$E$46,5)</f>
        <v>0</v>
      </c>
    </row>
    <row r="520" spans="1:3">
      <c r="A520" s="146" t="e">
        <f>$C$1&amp;".E30A.REM.VAR.PVFIN.DISB._INT.9.1_10_PERCT."</f>
        <v>#N/A</v>
      </c>
      <c r="B520" s="43">
        <f>ROUND(PAGE5!$G$46,5)</f>
        <v>0</v>
      </c>
      <c r="C520" s="43">
        <f>ROUND(PAGE5!$I$46,5)</f>
        <v>0</v>
      </c>
    </row>
    <row r="521" spans="1:3">
      <c r="A521" s="146" t="e">
        <f>$C$1&amp;".E30A.REM.ADJ.PVFIN.DISB._INT.9.1_10_PERCT."</f>
        <v>#N/A</v>
      </c>
      <c r="B521" s="43">
        <f>ROUND(PAGE5!$K$46,5)</f>
        <v>0</v>
      </c>
      <c r="C521" s="43">
        <f>ROUND(PAGE5!$M$46,5)</f>
        <v>0</v>
      </c>
    </row>
    <row r="522" spans="1:3">
      <c r="A522" s="146" t="e">
        <f>$C$1&amp;".E30A.REM.PVFIN.DISB._INT.9.1_10_PERCT.TTL."</f>
        <v>#N/A</v>
      </c>
      <c r="B522" s="43">
        <f>ROUND(PAGE5!$P$46,5)</f>
        <v>0</v>
      </c>
      <c r="C522" s="43">
        <f>ROUND(PAGE5!$R$46,5)</f>
        <v>0</v>
      </c>
    </row>
    <row r="523" spans="1:3">
      <c r="A523" s="146" t="e">
        <f>$C$1&amp;".E30A.REM.FR.PVFIN.DISB._INT.10.1_11_PERCT."</f>
        <v>#N/A</v>
      </c>
      <c r="B523" s="43">
        <f>ROUND(PAGE5!$C$47,5)</f>
        <v>0</v>
      </c>
      <c r="C523" s="43">
        <f>ROUND(PAGE5!$E$47,5)</f>
        <v>0</v>
      </c>
    </row>
    <row r="524" spans="1:3">
      <c r="A524" s="146" t="e">
        <f>$C$1&amp;".E30A.REM.VAR.PVFIN.DISB._INT.10.1_11_PERCT."</f>
        <v>#N/A</v>
      </c>
      <c r="B524" s="43">
        <f>ROUND(PAGE5!$G$47,5)</f>
        <v>0</v>
      </c>
      <c r="C524" s="43">
        <f>ROUND(PAGE5!$I$47,5)</f>
        <v>0</v>
      </c>
    </row>
    <row r="525" spans="1:3">
      <c r="A525" s="146" t="e">
        <f>$C$1&amp;".E30A.REM.ADJ.PVFIN.DISB._INT.10.1_11_PERCT."</f>
        <v>#N/A</v>
      </c>
      <c r="B525" s="43">
        <f>ROUND(PAGE5!$K$47,5)</f>
        <v>0</v>
      </c>
      <c r="C525" s="43">
        <f>ROUND(PAGE5!$M$47,5)</f>
        <v>0</v>
      </c>
    </row>
    <row r="526" spans="1:3">
      <c r="A526" s="146" t="e">
        <f>$C$1&amp;".E30A.REM.PVFIN.DISB._INT.10.1_11_PERCT.TTL."</f>
        <v>#N/A</v>
      </c>
      <c r="B526" s="43">
        <f>ROUND(PAGE5!$P$47,5)</f>
        <v>0</v>
      </c>
      <c r="C526" s="43">
        <f>ROUND(PAGE5!$R$47,5)</f>
        <v>0</v>
      </c>
    </row>
    <row r="527" spans="1:3">
      <c r="A527" s="146" t="e">
        <f>$C$1&amp;".E30A.REM.FR.PVFIN.DISB._INT.11.1_12_PERCT."</f>
        <v>#N/A</v>
      </c>
      <c r="B527" s="43">
        <f>ROUND(PAGE5!$C$48,5)</f>
        <v>0</v>
      </c>
      <c r="C527" s="43">
        <f>ROUND(PAGE5!$E$48,5)</f>
        <v>0</v>
      </c>
    </row>
    <row r="528" spans="1:3">
      <c r="A528" s="146" t="e">
        <f>$C$1&amp;".E30A.REM.VAR.PVFIN.DISB._INT.11.1_12_PERCT."</f>
        <v>#N/A</v>
      </c>
      <c r="B528" s="43">
        <f>ROUND(PAGE5!$G$48,5)</f>
        <v>0</v>
      </c>
      <c r="C528" s="43">
        <f>ROUND(PAGE5!$I$48,5)</f>
        <v>0</v>
      </c>
    </row>
    <row r="529" spans="1:3">
      <c r="A529" s="146" t="e">
        <f>$C$1&amp;".E30A.REM.ADJ.PVFIN.DISB._INT.11.1_12_PERCT."</f>
        <v>#N/A</v>
      </c>
      <c r="B529" s="43">
        <f>ROUND(PAGE5!$K$48,5)</f>
        <v>0</v>
      </c>
      <c r="C529" s="43">
        <f>ROUND(PAGE5!$M$48,5)</f>
        <v>0</v>
      </c>
    </row>
    <row r="530" spans="1:3">
      <c r="A530" s="146" t="e">
        <f>$C$1&amp;".E30A.REM.PVFIN.DISB._INT.11.1_12_PERCT.TTL."</f>
        <v>#N/A</v>
      </c>
      <c r="B530" s="43">
        <f>ROUND(PAGE5!$P$48,5)</f>
        <v>0</v>
      </c>
      <c r="C530" s="43">
        <f>ROUND(PAGE5!$R$48,5)</f>
        <v>0</v>
      </c>
    </row>
    <row r="531" spans="1:3">
      <c r="A531" s="146" t="e">
        <f>$C$1&amp;".E30A.REM.FR.PVFIN.DISB._INT.12.1_13_PERCT."</f>
        <v>#N/A</v>
      </c>
      <c r="B531" s="43">
        <f>ROUND(PAGE5!$C$49,5)</f>
        <v>0</v>
      </c>
      <c r="C531" s="43">
        <f>ROUND(PAGE5!$E$49,5)</f>
        <v>0</v>
      </c>
    </row>
    <row r="532" spans="1:3">
      <c r="A532" s="146" t="e">
        <f>$C$1&amp;".E30A.REM.VAR.PVFIN.DISB._INT.12.1_13_PERCT."</f>
        <v>#N/A</v>
      </c>
      <c r="B532" s="43">
        <f>ROUND(PAGE5!$G$49,5)</f>
        <v>0</v>
      </c>
      <c r="C532" s="43">
        <f>ROUND(PAGE5!$I$49,5)</f>
        <v>0</v>
      </c>
    </row>
    <row r="533" spans="1:3">
      <c r="A533" s="146" t="e">
        <f>$C$1&amp;".E30A.REM.ADJ.PVFIN.DISB._INT.12.1_13_PERCT."</f>
        <v>#N/A</v>
      </c>
      <c r="B533" s="43">
        <f>ROUND(PAGE5!$K$49,5)</f>
        <v>0</v>
      </c>
      <c r="C533" s="43">
        <f>ROUND(PAGE5!$M$49,5)</f>
        <v>0</v>
      </c>
    </row>
    <row r="534" spans="1:3">
      <c r="A534" s="146" t="e">
        <f>$C$1&amp;".E30A.REM.PVFIN.DISB._INT.12.1_13_PERCT.TTL."</f>
        <v>#N/A</v>
      </c>
      <c r="B534" s="43">
        <f>ROUND(PAGE5!$P$49,5)</f>
        <v>0</v>
      </c>
      <c r="C534" s="43">
        <f>ROUND(PAGE5!$R$49,5)</f>
        <v>0</v>
      </c>
    </row>
    <row r="535" spans="1:3">
      <c r="A535" s="146" t="e">
        <f>$C$1&amp;".E30A.REM.FR.PVFIN.DISB._INT.13.1_14_PERCT."</f>
        <v>#N/A</v>
      </c>
      <c r="B535" s="43">
        <f>ROUND(PAGE5!$C$50,5)</f>
        <v>0</v>
      </c>
      <c r="C535" s="43">
        <f>ROUND(PAGE5!$E$50,5)</f>
        <v>0</v>
      </c>
    </row>
    <row r="536" spans="1:3">
      <c r="A536" s="146" t="e">
        <f>$C$1&amp;".E30A.REM.VAR.PVFIN.DISB._INT.13.1_14_PERCT."</f>
        <v>#N/A</v>
      </c>
      <c r="B536" s="43">
        <f>ROUND(PAGE5!$G$50,5)</f>
        <v>0</v>
      </c>
      <c r="C536" s="43">
        <f>ROUND(PAGE5!$I$50,5)</f>
        <v>0</v>
      </c>
    </row>
    <row r="537" spans="1:3">
      <c r="A537" s="146" t="e">
        <f>$C$1&amp;".E30A.REM.ADJ.PVFIN.DISB._INT.13.1_14_PERCT."</f>
        <v>#N/A</v>
      </c>
      <c r="B537" s="43">
        <f>ROUND(PAGE5!$K$50,5)</f>
        <v>0</v>
      </c>
      <c r="C537" s="43">
        <f>ROUND(PAGE5!$M$50,5)</f>
        <v>0</v>
      </c>
    </row>
    <row r="538" spans="1:3">
      <c r="A538" s="146" t="e">
        <f>$C$1&amp;".E30A.REM.PVFIN.DISB._INT.13.1_14_PERCT.TTL."</f>
        <v>#N/A</v>
      </c>
      <c r="B538" s="43">
        <f>ROUND(PAGE5!$P$50,5)</f>
        <v>0</v>
      </c>
      <c r="C538" s="43">
        <f>ROUND(PAGE5!$R$50,5)</f>
        <v>0</v>
      </c>
    </row>
    <row r="539" spans="1:3">
      <c r="A539" s="146" t="e">
        <f>$C$1&amp;".E30A.REM.FR.PVFIN.DISB._INT.14.1_15_PERCT."</f>
        <v>#N/A</v>
      </c>
      <c r="B539" s="43">
        <f>ROUND(PAGE5!$C$51,5)</f>
        <v>0</v>
      </c>
      <c r="C539" s="43">
        <f>ROUND(PAGE5!$E$51,5)</f>
        <v>0</v>
      </c>
    </row>
    <row r="540" spans="1:3">
      <c r="A540" s="146" t="e">
        <f>$C$1&amp;".E30A.REM.VAR.PVFIN.DISB._INT.14.1_15_PERCT."</f>
        <v>#N/A</v>
      </c>
      <c r="B540" s="43">
        <f>ROUND(PAGE5!$G$51,5)</f>
        <v>0</v>
      </c>
      <c r="C540" s="43">
        <f>ROUND(PAGE5!$I$51,5)</f>
        <v>0</v>
      </c>
    </row>
    <row r="541" spans="1:3">
      <c r="A541" s="146" t="e">
        <f>$C$1&amp;".E30A.REM.ADJ.PVFIN.DISB._INT.14.1_15_PERCT."</f>
        <v>#N/A</v>
      </c>
      <c r="B541" s="43">
        <f>ROUND(PAGE5!$K$51,5)</f>
        <v>0</v>
      </c>
      <c r="C541" s="43">
        <f>ROUND(PAGE5!$M$51,5)</f>
        <v>0</v>
      </c>
    </row>
    <row r="542" spans="1:3">
      <c r="A542" s="146" t="e">
        <f>$C$1&amp;".E30A.REM.PVFIN.DISB._INT.14.1_15_PERCT.TTL."</f>
        <v>#N/A</v>
      </c>
      <c r="B542" s="43">
        <f>ROUND(PAGE5!$P$51,5)</f>
        <v>0</v>
      </c>
      <c r="C542" s="43">
        <f>ROUND(PAGE5!$R$51,5)</f>
        <v>0</v>
      </c>
    </row>
    <row r="543" spans="1:3">
      <c r="A543" s="146" t="e">
        <f>$C$1&amp;".E30A.REM.FR.PVFIN.DISB._INT.OVR_15.1_PERCT."</f>
        <v>#N/A</v>
      </c>
      <c r="B543" s="43">
        <f>ROUND(PAGE5!$C$52,5)</f>
        <v>0</v>
      </c>
      <c r="C543" s="43">
        <f>ROUND(PAGE5!$E$52,5)</f>
        <v>0</v>
      </c>
    </row>
    <row r="544" spans="1:3">
      <c r="A544" s="146" t="e">
        <f>$C$1&amp;".E30A.REM.VAR.PVFIN.DISB._INT.OVR_15.1_PERCT."</f>
        <v>#N/A</v>
      </c>
      <c r="B544" s="43">
        <f>ROUND(PAGE5!$G$52,5)</f>
        <v>0</v>
      </c>
      <c r="C544" s="43">
        <f>ROUND(PAGE5!$I$52,5)</f>
        <v>0</v>
      </c>
    </row>
    <row r="545" spans="1:3">
      <c r="A545" s="146" t="e">
        <f>$C$1&amp;".E30A.REM.ADJ.PVFIN.DISB._INT.OVR_15.1_PERCT."</f>
        <v>#N/A</v>
      </c>
      <c r="B545" s="43">
        <f>ROUND(PAGE5!$K$52,5)</f>
        <v>0</v>
      </c>
      <c r="C545" s="43">
        <f>ROUND(PAGE5!$M$52,5)</f>
        <v>0</v>
      </c>
    </row>
    <row r="546" spans="1:3">
      <c r="A546" s="146" t="e">
        <f>$C$1&amp;".E30A.REM.PVFIN.DISB._INT.OVR_15.1_PERCT.TTL."</f>
        <v>#N/A</v>
      </c>
      <c r="B546" s="43">
        <f>ROUND(PAGE5!$P$52,5)</f>
        <v>0</v>
      </c>
      <c r="C546" s="43">
        <f>ROUND(PAGE5!$R$52,5)</f>
        <v>0</v>
      </c>
    </row>
    <row r="547" spans="1:3">
      <c r="A547" s="146" t="e">
        <f>$C$1&amp;".E30A.REM.FR.IBUS.DISB._INT.0_3_PERCT."</f>
        <v>#N/A</v>
      </c>
      <c r="B547" s="43">
        <f>ROUND(PAGE5!$C$58,5)</f>
        <v>0</v>
      </c>
      <c r="C547" s="43">
        <f>ROUND(PAGE5!$E$58,5)</f>
        <v>0</v>
      </c>
    </row>
    <row r="548" spans="1:3">
      <c r="A548" s="146" t="e">
        <f>$C$1&amp;".E30A.REM.VAR.IBUS.DISB._INT.0_3_PERCT."</f>
        <v>#N/A</v>
      </c>
      <c r="B548" s="43">
        <f>ROUND(PAGE5!$G$58,5)</f>
        <v>0</v>
      </c>
      <c r="C548" s="43">
        <f>ROUND(PAGE5!$I$58,5)</f>
        <v>0</v>
      </c>
    </row>
    <row r="549" spans="1:3">
      <c r="A549" s="146" t="e">
        <f>$C$1&amp;".E30A.REM.ADJ.IBUS.DISB._INT.0_3_PERCT."</f>
        <v>#N/A</v>
      </c>
      <c r="B549" s="43">
        <f>ROUND(PAGE5!$K$58,5)</f>
        <v>0</v>
      </c>
      <c r="C549" s="43">
        <f>ROUND(PAGE5!$M$58,5)</f>
        <v>0</v>
      </c>
    </row>
    <row r="550" spans="1:3">
      <c r="A550" s="146" t="e">
        <f>$C$1&amp;".E30A.REM.IBUS.DISB._INT.0_3_PERCT.TTL."</f>
        <v>#N/A</v>
      </c>
      <c r="B550" s="43">
        <f>ROUND(PAGE5!$P$58,5)</f>
        <v>0</v>
      </c>
      <c r="C550" s="43">
        <f>ROUND(PAGE5!$R$58,5)</f>
        <v>0</v>
      </c>
    </row>
    <row r="551" spans="1:3">
      <c r="A551" s="146" t="e">
        <f>$C$1&amp;".E30A.REM.FR.IBUS.DISB._INT.3.1_4_PERCT."</f>
        <v>#N/A</v>
      </c>
      <c r="B551" s="43">
        <f>ROUND(PAGE5!$C$59,5)</f>
        <v>0</v>
      </c>
      <c r="C551" s="43">
        <f>ROUND(PAGE5!$E$59,5)</f>
        <v>0</v>
      </c>
    </row>
    <row r="552" spans="1:3">
      <c r="A552" s="146" t="e">
        <f>$C$1&amp;".E30A.REM.VAR.IBUS.DISB._INT.3.1_4_PERCT."</f>
        <v>#N/A</v>
      </c>
      <c r="B552" s="43">
        <f>ROUND(PAGE5!$G$59,5)</f>
        <v>0</v>
      </c>
      <c r="C552" s="43">
        <f>ROUND(PAGE5!$I$59,5)</f>
        <v>0</v>
      </c>
    </row>
    <row r="553" spans="1:3">
      <c r="A553" s="146" t="e">
        <f>$C$1&amp;".E30A.REM.ADJ.IBUS.DISB._INT.3.1_4_PERCT."</f>
        <v>#N/A</v>
      </c>
      <c r="B553" s="43">
        <f>ROUND(PAGE5!$K$59,5)</f>
        <v>0</v>
      </c>
      <c r="C553" s="43">
        <f>ROUND(PAGE5!$M$59,5)</f>
        <v>0</v>
      </c>
    </row>
    <row r="554" spans="1:3">
      <c r="A554" s="146" t="e">
        <f>$C$1&amp;".E30A.REM.IBUS.DISB._INT.3.1_4_PERCT.TTL."</f>
        <v>#N/A</v>
      </c>
      <c r="B554" s="43">
        <f>ROUND(PAGE5!$P$59,5)</f>
        <v>0</v>
      </c>
      <c r="C554" s="43">
        <f>ROUND(PAGE5!$R$59,5)</f>
        <v>0</v>
      </c>
    </row>
    <row r="555" spans="1:3">
      <c r="A555" s="146" t="e">
        <f>$C$1&amp;".E30A.REM.FR.IBUS.DISB._INT.4.1_5_PERCT."</f>
        <v>#N/A</v>
      </c>
      <c r="B555" s="43">
        <f>ROUND(PAGE5!$C$60,5)</f>
        <v>0</v>
      </c>
      <c r="C555" s="43">
        <f>ROUND(PAGE5!$E$60,5)</f>
        <v>0</v>
      </c>
    </row>
    <row r="556" spans="1:3">
      <c r="A556" s="146" t="e">
        <f>$C$1&amp;".E30A.REM.VAR.IBUS.DISB._INT.4.1_5_PERCT."</f>
        <v>#N/A</v>
      </c>
      <c r="B556" s="43">
        <f>ROUND(PAGE5!$G$60,5)</f>
        <v>0</v>
      </c>
      <c r="C556" s="43">
        <f>ROUND(PAGE5!$I$60,5)</f>
        <v>0</v>
      </c>
    </row>
    <row r="557" spans="1:3">
      <c r="A557" s="146" t="e">
        <f>$C$1&amp;".E30A.REM.ADJ.IBUS.DISB._INT.4.1_5_PERCT."</f>
        <v>#N/A</v>
      </c>
      <c r="B557" s="43">
        <f>ROUND(PAGE5!$K$60,5)</f>
        <v>0</v>
      </c>
      <c r="C557" s="43">
        <f>ROUND(PAGE5!$M$60,5)</f>
        <v>0</v>
      </c>
    </row>
    <row r="558" spans="1:3">
      <c r="A558" s="146" t="e">
        <f>$C$1&amp;".E30A.REM.IBUS.DISB._INT.4.1_5_PERCT.TTL."</f>
        <v>#N/A</v>
      </c>
      <c r="B558" s="43">
        <f>ROUND(PAGE5!$P$60,5)</f>
        <v>0</v>
      </c>
      <c r="C558" s="43">
        <f>ROUND(PAGE5!$R$60,5)</f>
        <v>0</v>
      </c>
    </row>
    <row r="559" spans="1:3">
      <c r="A559" s="146" t="e">
        <f>$C$1&amp;".E30A.REM.FR.IBUS.DISB._INT.5.1_6_PERCT."</f>
        <v>#N/A</v>
      </c>
      <c r="B559" s="43">
        <f>ROUND(PAGE5!$C$61,5)</f>
        <v>0</v>
      </c>
      <c r="C559" s="43">
        <f>ROUND(PAGE5!$E$61,5)</f>
        <v>0</v>
      </c>
    </row>
    <row r="560" spans="1:3">
      <c r="A560" s="146" t="e">
        <f>$C$1&amp;".E30A.REM.VAR.IBUS.DISB._INT.5.1_6_PERCT."</f>
        <v>#N/A</v>
      </c>
      <c r="B560" s="43">
        <f>ROUND(PAGE5!$G$61,5)</f>
        <v>0</v>
      </c>
      <c r="C560" s="43">
        <f>ROUND(PAGE5!$I$61,5)</f>
        <v>0</v>
      </c>
    </row>
    <row r="561" spans="1:3">
      <c r="A561" s="146" t="e">
        <f>$C$1&amp;".E30A.REM.ADJ.IBUS.DISB._INT.5.1_6_PERCT."</f>
        <v>#N/A</v>
      </c>
      <c r="B561" s="43">
        <f>ROUND(PAGE5!$K$61,5)</f>
        <v>0</v>
      </c>
      <c r="C561" s="43">
        <f>ROUND(PAGE5!$M$61,5)</f>
        <v>0</v>
      </c>
    </row>
    <row r="562" spans="1:3">
      <c r="A562" s="146" t="e">
        <f>$C$1&amp;".E30A.REM.IBUS.DISB._INT.5.1_6_PERCT.TTL."</f>
        <v>#N/A</v>
      </c>
      <c r="B562" s="43">
        <f>ROUND(PAGE5!$P$61,5)</f>
        <v>0</v>
      </c>
      <c r="C562" s="43">
        <f>ROUND(PAGE5!$R$61,5)</f>
        <v>0</v>
      </c>
    </row>
    <row r="563" spans="1:3">
      <c r="A563" s="146" t="e">
        <f>$C$1&amp;".E30A.REM.FR.IBUS.DISB._INT.6.1_7_PERCT."</f>
        <v>#N/A</v>
      </c>
      <c r="B563" s="43">
        <f>ROUND(PAGE5!$C$62,5)</f>
        <v>0</v>
      </c>
      <c r="C563" s="43">
        <f>ROUND(PAGE5!$E$62,5)</f>
        <v>0</v>
      </c>
    </row>
    <row r="564" spans="1:3">
      <c r="A564" s="146" t="e">
        <f>$C$1&amp;".E30A.REM.VAR.IBUS.DISB._INT.6.1_7_PERCT."</f>
        <v>#N/A</v>
      </c>
      <c r="B564" s="43">
        <f>ROUND(PAGE5!$G$62,5)</f>
        <v>0</v>
      </c>
      <c r="C564" s="43">
        <f>ROUND(PAGE5!$I$62,5)</f>
        <v>0</v>
      </c>
    </row>
    <row r="565" spans="1:3">
      <c r="A565" s="146" t="e">
        <f>$C$1&amp;".E30A.REM.ADJ.IBUS.DISB._INT.6.1_7_PERCT."</f>
        <v>#N/A</v>
      </c>
      <c r="B565" s="43">
        <f>ROUND(PAGE5!$K$62,5)</f>
        <v>0</v>
      </c>
      <c r="C565" s="43">
        <f>ROUND(PAGE5!$M$62,5)</f>
        <v>0</v>
      </c>
    </row>
    <row r="566" spans="1:3">
      <c r="A566" s="146" t="e">
        <f>$C$1&amp;".E30A.REM.IBUS.DISB._INT.6.1_7_PERCT.TTL."</f>
        <v>#N/A</v>
      </c>
      <c r="B566" s="43">
        <f>ROUND(PAGE5!$P$62,5)</f>
        <v>0</v>
      </c>
      <c r="C566" s="43">
        <f>ROUND(PAGE5!$R$62,5)</f>
        <v>0</v>
      </c>
    </row>
    <row r="567" spans="1:3">
      <c r="A567" s="146" t="e">
        <f>$C$1&amp;".E30A.REM.FR.IBUS.DISB._INT.7.1_8_PERCT."</f>
        <v>#N/A</v>
      </c>
      <c r="B567" s="43">
        <f>ROUND(PAGE5!$C$63,5)</f>
        <v>0</v>
      </c>
      <c r="C567" s="43">
        <f>ROUND(PAGE5!$E$63,5)</f>
        <v>0</v>
      </c>
    </row>
    <row r="568" spans="1:3">
      <c r="A568" s="146" t="e">
        <f>$C$1&amp;".E30A.REM.VAR.IBUS.DISB._INT.7.1_8_PERCT."</f>
        <v>#N/A</v>
      </c>
      <c r="B568" s="43">
        <f>ROUND(PAGE5!$G$63,5)</f>
        <v>0</v>
      </c>
      <c r="C568" s="43">
        <f>ROUND(PAGE5!$I$63,5)</f>
        <v>0</v>
      </c>
    </row>
    <row r="569" spans="1:3">
      <c r="A569" s="146" t="e">
        <f>$C$1&amp;".E30A.REM.ADJ.IBUS.DISB._INT.7.1_8_PERCT."</f>
        <v>#N/A</v>
      </c>
      <c r="B569" s="43">
        <f>ROUND(PAGE5!$K$63,5)</f>
        <v>0</v>
      </c>
      <c r="C569" s="43">
        <f>ROUND(PAGE5!$M$63,5)</f>
        <v>0</v>
      </c>
    </row>
    <row r="570" spans="1:3">
      <c r="A570" s="146" t="e">
        <f>$C$1&amp;".E30A.REM.IBUS.DISB._INT.7.1_8_PERCT.TTL."</f>
        <v>#N/A</v>
      </c>
      <c r="B570" s="43">
        <f>ROUND(PAGE5!$P$63,5)</f>
        <v>0</v>
      </c>
      <c r="C570" s="43">
        <f>ROUND(PAGE5!$R$63,5)</f>
        <v>0</v>
      </c>
    </row>
    <row r="571" spans="1:3">
      <c r="A571" s="146" t="e">
        <f>$C$1&amp;".E30A.REM.FR.IBUS.DISB._INT.8.1_9_PERCT."</f>
        <v>#N/A</v>
      </c>
      <c r="B571" s="43">
        <f>ROUND(PAGE5!$C$64,5)</f>
        <v>0</v>
      </c>
      <c r="C571" s="43">
        <f>ROUND(PAGE5!$E$64,5)</f>
        <v>0</v>
      </c>
    </row>
    <row r="572" spans="1:3">
      <c r="A572" s="146" t="e">
        <f>$C$1&amp;".E30A.REM.VAR.IBUS.DISB._INT.8.1_9_PERCT."</f>
        <v>#N/A</v>
      </c>
      <c r="B572" s="43">
        <f>ROUND(PAGE5!$G$64,5)</f>
        <v>0</v>
      </c>
      <c r="C572" s="43">
        <f>ROUND(PAGE5!$I$64,5)</f>
        <v>0</v>
      </c>
    </row>
    <row r="573" spans="1:3">
      <c r="A573" s="146" t="e">
        <f>$C$1&amp;".E30A.REM.ADJ.IBUS.DISB._INT.8.1_9_PERCT."</f>
        <v>#N/A</v>
      </c>
      <c r="B573" s="43">
        <f>ROUND(PAGE5!$K$64,5)</f>
        <v>0</v>
      </c>
      <c r="C573" s="43">
        <f>ROUND(PAGE5!$M$64,5)</f>
        <v>0</v>
      </c>
    </row>
    <row r="574" spans="1:3">
      <c r="A574" s="146" t="e">
        <f>$C$1&amp;".E30A.REM.IBUS.DISB._INT.8.1_9_PERCT.TTL."</f>
        <v>#N/A</v>
      </c>
      <c r="B574" s="43">
        <f>ROUND(PAGE5!$P$64,5)</f>
        <v>0</v>
      </c>
      <c r="C574" s="43">
        <f>ROUND(PAGE5!$R$64,5)</f>
        <v>0</v>
      </c>
    </row>
    <row r="575" spans="1:3">
      <c r="A575" s="146" t="e">
        <f>$C$1&amp;".E30A.REM.FR.IBUS.DISB._INT.9.1_10_PERCT."</f>
        <v>#N/A</v>
      </c>
      <c r="B575" s="43">
        <f>ROUND(PAGE5!$C$65,5)</f>
        <v>0</v>
      </c>
      <c r="C575" s="43">
        <f>ROUND(PAGE5!$E$65,5)</f>
        <v>0</v>
      </c>
    </row>
    <row r="576" spans="1:3">
      <c r="A576" s="146" t="e">
        <f>$C$1&amp;".E30A.REM.VAR.IBUS.DISB._INT.9.1_10_PERCT."</f>
        <v>#N/A</v>
      </c>
      <c r="B576" s="43">
        <f>ROUND(PAGE5!$G$65,5)</f>
        <v>0</v>
      </c>
      <c r="C576" s="43">
        <f>ROUND(PAGE5!$I$65,5)</f>
        <v>0</v>
      </c>
    </row>
    <row r="577" spans="1:3">
      <c r="A577" s="146" t="e">
        <f>$C$1&amp;".E30A.REM.ADJ.IBUS.DISB._INT.9.1_10_PERCT."</f>
        <v>#N/A</v>
      </c>
      <c r="B577" s="43">
        <f>ROUND(PAGE5!$K$65,5)</f>
        <v>0</v>
      </c>
      <c r="C577" s="43">
        <f>ROUND(PAGE5!$M$65,5)</f>
        <v>0</v>
      </c>
    </row>
    <row r="578" spans="1:3">
      <c r="A578" s="146" t="e">
        <f>$C$1&amp;".E30A.REM.IBUS.DISB._INT.9.1_10_PERCT.TTL."</f>
        <v>#N/A</v>
      </c>
      <c r="B578" s="43">
        <f>ROUND(PAGE5!$P$65,5)</f>
        <v>0</v>
      </c>
      <c r="C578" s="43">
        <f>ROUND(PAGE5!$R$65,5)</f>
        <v>0</v>
      </c>
    </row>
    <row r="579" spans="1:3">
      <c r="A579" s="146" t="e">
        <f>$C$1&amp;".E30A.REM.FR.IBUS.DISB._INT.10.1_11_PERCT."</f>
        <v>#N/A</v>
      </c>
      <c r="B579" s="43">
        <f>ROUND(PAGE5!$C$66,5)</f>
        <v>0</v>
      </c>
      <c r="C579" s="43">
        <f>ROUND(PAGE5!$E$66,5)</f>
        <v>0</v>
      </c>
    </row>
    <row r="580" spans="1:3">
      <c r="A580" s="146" t="e">
        <f>$C$1&amp;".E30A.REM.VAR.IBUS.DISB._INT.10.1_11_PERCT."</f>
        <v>#N/A</v>
      </c>
      <c r="B580" s="43">
        <f>ROUND(PAGE5!$G$66,5)</f>
        <v>0</v>
      </c>
      <c r="C580" s="43">
        <f>ROUND(PAGE5!$I$66,5)</f>
        <v>0</v>
      </c>
    </row>
    <row r="581" spans="1:3">
      <c r="A581" s="146" t="e">
        <f>$C$1&amp;".E30A.REM.ADJ.IBUS.DISB._INT.10.1_11_PERCT."</f>
        <v>#N/A</v>
      </c>
      <c r="B581" s="43">
        <f>ROUND(PAGE5!$K$66,5)</f>
        <v>0</v>
      </c>
      <c r="C581" s="43">
        <f>ROUND(PAGE5!$M$66,5)</f>
        <v>0</v>
      </c>
    </row>
    <row r="582" spans="1:3">
      <c r="A582" s="146" t="e">
        <f>$C$1&amp;".E30A.REM.IBUS.DISB._INT.10.1_11_PERCT.TTL."</f>
        <v>#N/A</v>
      </c>
      <c r="B582" s="43">
        <f>ROUND(PAGE5!$P$66,5)</f>
        <v>0</v>
      </c>
      <c r="C582" s="43">
        <f>ROUND(PAGE5!$R$66,5)</f>
        <v>0</v>
      </c>
    </row>
    <row r="583" spans="1:3">
      <c r="A583" s="146" t="e">
        <f>$C$1&amp;".E30A.REM.FR.IBUS.DISB._INT.11.1_12_PERCT."</f>
        <v>#N/A</v>
      </c>
      <c r="B583" s="43">
        <f>ROUND(PAGE5!$C$67,5)</f>
        <v>0</v>
      </c>
      <c r="C583" s="43">
        <f>ROUND(PAGE5!$E$67,5)</f>
        <v>0</v>
      </c>
    </row>
    <row r="584" spans="1:3">
      <c r="A584" s="146" t="e">
        <f>$C$1&amp;".E30A.REM.VAR.IBUS.DISB._INT.11.1_12_PERCT."</f>
        <v>#N/A</v>
      </c>
      <c r="B584" s="43">
        <f>ROUND(PAGE5!$G$67,5)</f>
        <v>0</v>
      </c>
      <c r="C584" s="43">
        <f>ROUND(PAGE5!$I$67,5)</f>
        <v>0</v>
      </c>
    </row>
    <row r="585" spans="1:3">
      <c r="A585" s="146" t="e">
        <f>$C$1&amp;".E30A.REM.ADJ.IBUS.DISB._INT.11.1_12_PERCT."</f>
        <v>#N/A</v>
      </c>
      <c r="B585" s="43">
        <f>ROUND(PAGE5!$K$67,5)</f>
        <v>0</v>
      </c>
      <c r="C585" s="43">
        <f>ROUND(PAGE5!$M$67,5)</f>
        <v>0</v>
      </c>
    </row>
    <row r="586" spans="1:3">
      <c r="A586" s="146" t="e">
        <f>$C$1&amp;".E30A.REM.IBUS.DISB._INT.11.1_12_PERCT.TTL."</f>
        <v>#N/A</v>
      </c>
      <c r="B586" s="43">
        <f>ROUND(PAGE5!$P$67,5)</f>
        <v>0</v>
      </c>
      <c r="C586" s="43">
        <f>ROUND(PAGE5!$R$67,5)</f>
        <v>0</v>
      </c>
    </row>
    <row r="587" spans="1:3">
      <c r="A587" s="146" t="e">
        <f>$C$1&amp;".E30A.REM.FR.IBUS.DISB._INT.12.1_13_PERCT."</f>
        <v>#N/A</v>
      </c>
      <c r="B587" s="43">
        <f>ROUND(PAGE5!$C$68,5)</f>
        <v>0</v>
      </c>
      <c r="C587" s="43">
        <f>ROUND(PAGE5!$E$68,5)</f>
        <v>0</v>
      </c>
    </row>
    <row r="588" spans="1:3">
      <c r="A588" s="146" t="e">
        <f>$C$1&amp;".E30A.REM.VAR.IBUS.DISB._INT.12.1_13_PERCT."</f>
        <v>#N/A</v>
      </c>
      <c r="B588" s="43">
        <f>ROUND(PAGE5!$G$68,5)</f>
        <v>0</v>
      </c>
      <c r="C588" s="43">
        <f>ROUND(PAGE5!$I$68,5)</f>
        <v>0</v>
      </c>
    </row>
    <row r="589" spans="1:3">
      <c r="A589" s="146" t="e">
        <f>$C$1&amp;".E30A.REM.ADJ.IBUS.DISB._INT.12.1_13_PERCT."</f>
        <v>#N/A</v>
      </c>
      <c r="B589" s="43">
        <f>ROUND(PAGE5!$K$68,5)</f>
        <v>0</v>
      </c>
      <c r="C589" s="43">
        <f>ROUND(PAGE5!$M$68,5)</f>
        <v>0</v>
      </c>
    </row>
    <row r="590" spans="1:3">
      <c r="A590" s="146" t="e">
        <f>$C$1&amp;".E30A.REM.IBUS.DISB._INT.12.1_13_PERCT.TTL."</f>
        <v>#N/A</v>
      </c>
      <c r="B590" s="43">
        <f>ROUND(PAGE5!$P$68,5)</f>
        <v>0</v>
      </c>
      <c r="C590" s="43">
        <f>ROUND(PAGE5!$R$68,5)</f>
        <v>0</v>
      </c>
    </row>
    <row r="591" spans="1:3">
      <c r="A591" s="146" t="e">
        <f>$C$1&amp;".E30A.REM.FR.IBUS.DISB._INT.13.1_14_PERCT."</f>
        <v>#N/A</v>
      </c>
      <c r="B591" s="43">
        <f>ROUND(PAGE5!$C$69,5)</f>
        <v>0</v>
      </c>
      <c r="C591" s="43">
        <f>ROUND(PAGE5!$E$69,5)</f>
        <v>0</v>
      </c>
    </row>
    <row r="592" spans="1:3">
      <c r="A592" s="146" t="e">
        <f>$C$1&amp;".E30A.REM.VAR.IBUS.DISB._INT.13.1_14_PERCT."</f>
        <v>#N/A</v>
      </c>
      <c r="B592" s="43">
        <f>ROUND(PAGE5!$G$69,5)</f>
        <v>0</v>
      </c>
      <c r="C592" s="43">
        <f>ROUND(PAGE5!$I$69,5)</f>
        <v>0</v>
      </c>
    </row>
    <row r="593" spans="1:3">
      <c r="A593" s="146" t="e">
        <f>$C$1&amp;".E30A.REM.ADJ.IBUS.DISB._INT.13.1_14_PERCT."</f>
        <v>#N/A</v>
      </c>
      <c r="B593" s="43">
        <f>ROUND(PAGE5!$K$69,5)</f>
        <v>0</v>
      </c>
      <c r="C593" s="43">
        <f>ROUND(PAGE5!$M$69,5)</f>
        <v>0</v>
      </c>
    </row>
    <row r="594" spans="1:3">
      <c r="A594" s="146" t="e">
        <f>$C$1&amp;".E30A.REM.IBUS.DISB._INT.13.1_14_PERCT.TTL."</f>
        <v>#N/A</v>
      </c>
      <c r="B594" s="43">
        <f>ROUND(PAGE5!$P$69,5)</f>
        <v>0</v>
      </c>
      <c r="C594" s="43">
        <f>ROUND(PAGE5!$R$69,5)</f>
        <v>0</v>
      </c>
    </row>
    <row r="595" spans="1:3">
      <c r="A595" s="146" t="e">
        <f>$C$1&amp;".E30A.REM.FR.IBUS.DISB._INT.14.1_15_PERCT."</f>
        <v>#N/A</v>
      </c>
      <c r="B595" s="43">
        <f>ROUND(PAGE5!$C$70,5)</f>
        <v>0</v>
      </c>
      <c r="C595" s="43">
        <f>ROUND(PAGE5!$E$70,5)</f>
        <v>0</v>
      </c>
    </row>
    <row r="596" spans="1:3">
      <c r="A596" s="146" t="e">
        <f>$C$1&amp;".E30A.REM.VAR.IBUS.DISB._INT.14.1_15_PERCT."</f>
        <v>#N/A</v>
      </c>
      <c r="B596" s="43">
        <f>ROUND(PAGE5!$G$70,5)</f>
        <v>0</v>
      </c>
      <c r="C596" s="43">
        <f>ROUND(PAGE5!$I$70,5)</f>
        <v>0</v>
      </c>
    </row>
    <row r="597" spans="1:3">
      <c r="A597" s="146" t="e">
        <f>$C$1&amp;".E30A.REM.ADJ.IBUS.DISB._INT.14.1_15_PERCT."</f>
        <v>#N/A</v>
      </c>
      <c r="B597" s="43">
        <f>ROUND(PAGE5!$K$70,5)</f>
        <v>0</v>
      </c>
      <c r="C597" s="43">
        <f>ROUND(PAGE5!$M$70,5)</f>
        <v>0</v>
      </c>
    </row>
    <row r="598" spans="1:3">
      <c r="A598" s="146" t="e">
        <f>$C$1&amp;".E30A.REM.IBUS.DISB._INT.14.1_15_PERCT.TTL."</f>
        <v>#N/A</v>
      </c>
      <c r="B598" s="43">
        <f>ROUND(PAGE5!$P$70,5)</f>
        <v>0</v>
      </c>
      <c r="C598" s="43">
        <f>ROUND(PAGE5!$R$70,5)</f>
        <v>0</v>
      </c>
    </row>
    <row r="599" spans="1:3">
      <c r="A599" s="146" t="e">
        <f>$C$1&amp;".E30A.REM.FR.IBUS.DISB._INT.OVR_15.1_PERCT."</f>
        <v>#N/A</v>
      </c>
      <c r="B599" s="43">
        <f>ROUND(PAGE5!$C$71,5)</f>
        <v>0</v>
      </c>
      <c r="C599" s="43">
        <f>ROUND(PAGE5!$E$71,5)</f>
        <v>0</v>
      </c>
    </row>
    <row r="600" spans="1:3">
      <c r="A600" s="146" t="e">
        <f>$C$1&amp;".E30A.REM.VAR.IBUS.DISB._INT.OVR_15.1_PERCT."</f>
        <v>#N/A</v>
      </c>
      <c r="B600" s="43">
        <f>ROUND(PAGE5!$G$71,5)</f>
        <v>0</v>
      </c>
      <c r="C600" s="43">
        <f>ROUND(PAGE5!$I$71,5)</f>
        <v>0</v>
      </c>
    </row>
    <row r="601" spans="1:3">
      <c r="A601" s="146" t="e">
        <f>$C$1&amp;".E30A.REM.ADJ.IBUS.DISB._INT.OVR_15.1_PERCT."</f>
        <v>#N/A</v>
      </c>
      <c r="B601" s="43">
        <f>ROUND(PAGE5!$K$71,5)</f>
        <v>0</v>
      </c>
      <c r="C601" s="43">
        <f>ROUND(PAGE5!$M$71,5)</f>
        <v>0</v>
      </c>
    </row>
    <row r="602" spans="1:3">
      <c r="A602" s="146" t="e">
        <f>$C$1&amp;".E30A.REM.IBUS.DISB._INT.OVR_15.1_PERCT.TTL."</f>
        <v>#N/A</v>
      </c>
      <c r="B602" s="43">
        <f>ROUND(PAGE5!$P$71,5)</f>
        <v>0</v>
      </c>
      <c r="C602" s="43">
        <f>ROUND(PAGE5!$R$71,5)</f>
        <v>0</v>
      </c>
    </row>
    <row r="603" spans="1:3">
      <c r="A603" s="146" t="e">
        <f>$C$1&amp;".E30A.REM.FR.UIBUS.DISB._INT.0_3_PERCT."</f>
        <v>#N/A</v>
      </c>
      <c r="B603" s="43">
        <f>ROUND(PAGE5!$C$77,5)</f>
        <v>0</v>
      </c>
      <c r="C603" s="43">
        <f>ROUND(PAGE5!$E$77,5)</f>
        <v>0</v>
      </c>
    </row>
    <row r="604" spans="1:3">
      <c r="A604" s="146" t="e">
        <f>$C$1&amp;".E30A.REM.VAR.UIBUS.DISB._INT.0_3_PERCT."</f>
        <v>#N/A</v>
      </c>
      <c r="B604" s="43">
        <f>ROUND(PAGE5!$G$77,5)</f>
        <v>0</v>
      </c>
      <c r="C604" s="43">
        <f>ROUND(PAGE5!$I$77,5)</f>
        <v>0</v>
      </c>
    </row>
    <row r="605" spans="1:3">
      <c r="A605" s="146" t="e">
        <f>$C$1&amp;".E30A.REM.ADJ.UIBUS.DISB._INT.0_3_PERCT."</f>
        <v>#N/A</v>
      </c>
      <c r="B605" s="43">
        <f>ROUND(PAGE5!$K$77,5)</f>
        <v>0</v>
      </c>
      <c r="C605" s="43">
        <f>ROUND(PAGE5!$M$77,5)</f>
        <v>0</v>
      </c>
    </row>
    <row r="606" spans="1:3">
      <c r="A606" s="146" t="e">
        <f>$C$1&amp;".E30A.REM.UIBUS.DISB._INT.0_3_PERCT.TTL."</f>
        <v>#N/A</v>
      </c>
      <c r="B606" s="43">
        <f>ROUND(PAGE5!$P$77,5)</f>
        <v>0</v>
      </c>
      <c r="C606" s="43">
        <f>ROUND(PAGE5!$R$77,5)</f>
        <v>0</v>
      </c>
    </row>
    <row r="607" spans="1:3">
      <c r="A607" s="146" t="e">
        <f>$C$1&amp;".E30A.REM.FR.UIBUS.DISB._INT.3.1_4_PERCT."</f>
        <v>#N/A</v>
      </c>
      <c r="B607" s="43">
        <f>ROUND(PAGE5!$C$78,5)</f>
        <v>0</v>
      </c>
      <c r="C607" s="43">
        <f>ROUND(PAGE5!$E$78,5)</f>
        <v>0</v>
      </c>
    </row>
    <row r="608" spans="1:3">
      <c r="A608" s="146" t="e">
        <f>$C$1&amp;".E30A.REM.VAR.UIBUS.DISB._INT.3.1_4_PERCT."</f>
        <v>#N/A</v>
      </c>
      <c r="B608" s="43">
        <f>ROUND(PAGE5!$G$78,5)</f>
        <v>0</v>
      </c>
      <c r="C608" s="43">
        <f>ROUND(PAGE5!$I$78,5)</f>
        <v>0</v>
      </c>
    </row>
    <row r="609" spans="1:3">
      <c r="A609" s="146" t="e">
        <f>$C$1&amp;".E30A.REM.ADJ.UIBUS.DISB._INT.3.1_4_PERCT."</f>
        <v>#N/A</v>
      </c>
      <c r="B609" s="43">
        <f>ROUND(PAGE5!$K$78,5)</f>
        <v>0</v>
      </c>
      <c r="C609" s="43">
        <f>ROUND(PAGE5!$M$78,5)</f>
        <v>0</v>
      </c>
    </row>
    <row r="610" spans="1:3">
      <c r="A610" s="146" t="e">
        <f>$C$1&amp;".E30A.REM.UIBUS.DISB._INT.3.1_4_PERCT.TTL."</f>
        <v>#N/A</v>
      </c>
      <c r="B610" s="43">
        <f>ROUND(PAGE5!$P$78,5)</f>
        <v>0</v>
      </c>
      <c r="C610" s="43">
        <f>ROUND(PAGE5!$R$78,5)</f>
        <v>0</v>
      </c>
    </row>
    <row r="611" spans="1:3">
      <c r="A611" s="146" t="e">
        <f>$C$1&amp;".E30A.REM.FR.UIBUS.DISB._INT.4.1_5_PERCT."</f>
        <v>#N/A</v>
      </c>
      <c r="B611" s="43">
        <f>ROUND(PAGE5!$C$79,5)</f>
        <v>0</v>
      </c>
      <c r="C611" s="43">
        <f>ROUND(PAGE5!$E$79,5)</f>
        <v>0</v>
      </c>
    </row>
    <row r="612" spans="1:3">
      <c r="A612" s="146" t="e">
        <f>$C$1&amp;".E30A.REM.VAR.UIBUS.DISB._INT.4.1_5_PERCT."</f>
        <v>#N/A</v>
      </c>
      <c r="B612" s="43">
        <f>ROUND(PAGE5!$G$79,5)</f>
        <v>0</v>
      </c>
      <c r="C612" s="43">
        <f>ROUND(PAGE5!$I$79,5)</f>
        <v>0</v>
      </c>
    </row>
    <row r="613" spans="1:3">
      <c r="A613" s="146" t="e">
        <f>$C$1&amp;".E30A.REM.ADJ.UIBUS.DISB._INT.4.1_5_PERCT."</f>
        <v>#N/A</v>
      </c>
      <c r="B613" s="43">
        <f>ROUND(PAGE5!$K$79,5)</f>
        <v>0</v>
      </c>
      <c r="C613" s="43">
        <f>ROUND(PAGE5!$M$79,5)</f>
        <v>0</v>
      </c>
    </row>
    <row r="614" spans="1:3">
      <c r="A614" s="146" t="e">
        <f>$C$1&amp;".E30A.REM.UIBUS.DISB._INT.4.1_5_PERCT.TTL."</f>
        <v>#N/A</v>
      </c>
      <c r="B614" s="43">
        <f>ROUND(PAGE5!$P$79,5)</f>
        <v>0</v>
      </c>
      <c r="C614" s="43">
        <f>ROUND(PAGE5!$R$79,5)</f>
        <v>0</v>
      </c>
    </row>
    <row r="615" spans="1:3">
      <c r="A615" s="146" t="e">
        <f>$C$1&amp;".E30A.REM.FR.UIBUS.DISB._INT.5.1_6_PERCT."</f>
        <v>#N/A</v>
      </c>
      <c r="B615" s="43">
        <f>ROUND(PAGE5!$C$80,5)</f>
        <v>0</v>
      </c>
      <c r="C615" s="43">
        <f>ROUND(PAGE5!$E$80,5)</f>
        <v>0</v>
      </c>
    </row>
    <row r="616" spans="1:3">
      <c r="A616" s="146" t="e">
        <f>$C$1&amp;".E30A.REM.VAR.UIBUS.DISB._INT.5.1_6_PERCT."</f>
        <v>#N/A</v>
      </c>
      <c r="B616" s="43">
        <f>ROUND(PAGE5!$G$80,5)</f>
        <v>0</v>
      </c>
      <c r="C616" s="43">
        <f>ROUND(PAGE5!$I$80,5)</f>
        <v>0</v>
      </c>
    </row>
    <row r="617" spans="1:3">
      <c r="A617" s="146" t="e">
        <f>$C$1&amp;".E30A.REM.ADJ.UIBUS.DISB._INT.5.1_6_PERCT."</f>
        <v>#N/A</v>
      </c>
      <c r="B617" s="43">
        <f>ROUND(PAGE5!$K$80,5)</f>
        <v>0</v>
      </c>
      <c r="C617" s="43">
        <f>ROUND(PAGE5!$M$80,5)</f>
        <v>0</v>
      </c>
    </row>
    <row r="618" spans="1:3">
      <c r="A618" s="146" t="e">
        <f>$C$1&amp;".E30A.REM.UIBUS.DISB._INT.5.1_6_PERCT.TTL."</f>
        <v>#N/A</v>
      </c>
      <c r="B618" s="43">
        <f>ROUND(PAGE5!$P$80,5)</f>
        <v>0</v>
      </c>
      <c r="C618" s="43">
        <f>ROUND(PAGE5!$R$80,5)</f>
        <v>0</v>
      </c>
    </row>
    <row r="619" spans="1:3">
      <c r="A619" s="146" t="e">
        <f>$C$1&amp;".E30A.REM.FR.UIBUS.DISB._INT.6.1_7_PERCT."</f>
        <v>#N/A</v>
      </c>
      <c r="B619" s="43">
        <f>ROUND(PAGE5!$C$81,5)</f>
        <v>0</v>
      </c>
      <c r="C619" s="43">
        <f>ROUND(PAGE5!$E$81,5)</f>
        <v>0</v>
      </c>
    </row>
    <row r="620" spans="1:3">
      <c r="A620" s="146" t="e">
        <f>$C$1&amp;".E30A.REM.VAR.UIBUS.DISB._INT.6.1_7_PERCT."</f>
        <v>#N/A</v>
      </c>
      <c r="B620" s="43">
        <f>ROUND(PAGE5!$G$81,5)</f>
        <v>0</v>
      </c>
      <c r="C620" s="43">
        <f>ROUND(PAGE5!$I$81,5)</f>
        <v>0</v>
      </c>
    </row>
    <row r="621" spans="1:3">
      <c r="A621" s="146" t="e">
        <f>$C$1&amp;".E30A.REM.ADJ.UIBUS.DISB._INT.6.1_7_PERCT."</f>
        <v>#N/A</v>
      </c>
      <c r="B621" s="43">
        <f>ROUND(PAGE5!$K$81,5)</f>
        <v>0</v>
      </c>
      <c r="C621" s="43">
        <f>ROUND(PAGE5!$M$81,5)</f>
        <v>0</v>
      </c>
    </row>
    <row r="622" spans="1:3">
      <c r="A622" s="146" t="e">
        <f>$C$1&amp;".E30A.REM.UIBUS.DISB._INT.6.1_7_PERCT.TTL."</f>
        <v>#N/A</v>
      </c>
      <c r="B622" s="43">
        <f>ROUND(PAGE5!$P$81,5)</f>
        <v>0</v>
      </c>
      <c r="C622" s="43">
        <f>ROUND(PAGE5!$R$81,5)</f>
        <v>0</v>
      </c>
    </row>
    <row r="623" spans="1:3">
      <c r="A623" s="146" t="e">
        <f>$C$1&amp;".E30A.REM.FR.UIBUS.DISB._INT.7.1_8_PERCT."</f>
        <v>#N/A</v>
      </c>
      <c r="B623" s="43">
        <f>ROUND(PAGE5!$C$82,5)</f>
        <v>0</v>
      </c>
      <c r="C623" s="43">
        <f>ROUND(PAGE5!$E$82,5)</f>
        <v>0</v>
      </c>
    </row>
    <row r="624" spans="1:3">
      <c r="A624" s="146" t="e">
        <f>$C$1&amp;".E30A.REM.VAR.UIBUS.DISB._INT.7.1_8_PERCT."</f>
        <v>#N/A</v>
      </c>
      <c r="B624" s="43">
        <f>ROUND(PAGE5!$G$82,5)</f>
        <v>0</v>
      </c>
      <c r="C624" s="43">
        <f>ROUND(PAGE5!$I$82,5)</f>
        <v>0</v>
      </c>
    </row>
    <row r="625" spans="1:3">
      <c r="A625" s="146" t="e">
        <f>$C$1&amp;".E30A.REM.ADJ.UIBUS.DISB._INT.7.1_8_PERCT."</f>
        <v>#N/A</v>
      </c>
      <c r="B625" s="43">
        <f>ROUND(PAGE5!$K$82,5)</f>
        <v>0</v>
      </c>
      <c r="C625" s="43">
        <f>ROUND(PAGE5!$M$82,5)</f>
        <v>0</v>
      </c>
    </row>
    <row r="626" spans="1:3">
      <c r="A626" s="146" t="e">
        <f>$C$1&amp;".E30A.REM.UIBUS.DISB._INT.7.1_8_PERCT.TTL."</f>
        <v>#N/A</v>
      </c>
      <c r="B626" s="43">
        <f>ROUND(PAGE5!$P$82,5)</f>
        <v>0</v>
      </c>
      <c r="C626" s="43">
        <f>ROUND(PAGE5!$R$82,5)</f>
        <v>0</v>
      </c>
    </row>
    <row r="627" spans="1:3">
      <c r="A627" s="146" t="e">
        <f>$C$1&amp;".E30A.REM.FR.UIBUS.DISB._INT.8.1_9_PERCT."</f>
        <v>#N/A</v>
      </c>
      <c r="B627" s="43">
        <f>ROUND(PAGE5!$C$83,5)</f>
        <v>0</v>
      </c>
      <c r="C627" s="43">
        <f>ROUND(PAGE5!$E$83,5)</f>
        <v>0</v>
      </c>
    </row>
    <row r="628" spans="1:3">
      <c r="A628" s="146" t="e">
        <f>$C$1&amp;".E30A.REM.VAR.UIBUS.DISB._INT.8.1_9_PERCT."</f>
        <v>#N/A</v>
      </c>
      <c r="B628" s="43">
        <f>ROUND(PAGE5!$G$83,5)</f>
        <v>0</v>
      </c>
      <c r="C628" s="43">
        <f>ROUND(PAGE5!$I$83,5)</f>
        <v>0</v>
      </c>
    </row>
    <row r="629" spans="1:3">
      <c r="A629" s="146" t="e">
        <f>$C$1&amp;".E30A.REM.ADJ.UIBUS.DISB._INT.8.1_9_PERCT."</f>
        <v>#N/A</v>
      </c>
      <c r="B629" s="43">
        <f>ROUND(PAGE5!$K$83,5)</f>
        <v>0</v>
      </c>
      <c r="C629" s="43">
        <f>ROUND(PAGE5!$M$83,5)</f>
        <v>0</v>
      </c>
    </row>
    <row r="630" spans="1:3">
      <c r="A630" s="146" t="e">
        <f>$C$1&amp;".E30A.REM.UIBUS.DISB._INT.8.1_9_PERCT.TTL."</f>
        <v>#N/A</v>
      </c>
      <c r="B630" s="43">
        <f>ROUND(PAGE5!$P$83,5)</f>
        <v>0</v>
      </c>
      <c r="C630" s="43">
        <f>ROUND(PAGE5!$R$83,5)</f>
        <v>0</v>
      </c>
    </row>
    <row r="631" spans="1:3">
      <c r="A631" s="146" t="e">
        <f>$C$1&amp;".E30A.REM.FR.UIBUS.DISB._INT.9.1_10_PERCT."</f>
        <v>#N/A</v>
      </c>
      <c r="B631" s="43">
        <f>ROUND(PAGE5!$C$84,5)</f>
        <v>0</v>
      </c>
      <c r="C631" s="43">
        <f>ROUND(PAGE5!$E$84,5)</f>
        <v>0</v>
      </c>
    </row>
    <row r="632" spans="1:3">
      <c r="A632" s="146" t="e">
        <f>$C$1&amp;".E30A.REM.VAR.UIBUS.DISB._INT.9.1_10_PERCT."</f>
        <v>#N/A</v>
      </c>
      <c r="B632" s="43">
        <f>ROUND(PAGE5!$G$84,5)</f>
        <v>0</v>
      </c>
      <c r="C632" s="43">
        <f>ROUND(PAGE5!$I$84,5)</f>
        <v>0</v>
      </c>
    </row>
    <row r="633" spans="1:3">
      <c r="A633" s="146" t="e">
        <f>$C$1&amp;".E30A.REM.ADJ.UIBUS.DISB._INT.9.1_10_PERCT."</f>
        <v>#N/A</v>
      </c>
      <c r="B633" s="43">
        <f>ROUND(PAGE5!$K$84,5)</f>
        <v>0</v>
      </c>
      <c r="C633" s="43">
        <f>ROUND(PAGE5!$M$84,5)</f>
        <v>0</v>
      </c>
    </row>
    <row r="634" spans="1:3">
      <c r="A634" s="146" t="e">
        <f>$C$1&amp;".E30A.REM.UIBUS.DISB._INT.9.1_10_PERCT.TTL."</f>
        <v>#N/A</v>
      </c>
      <c r="B634" s="43">
        <f>ROUND(PAGE5!$P$84,5)</f>
        <v>0</v>
      </c>
      <c r="C634" s="43">
        <f>ROUND(PAGE5!$R$84,5)</f>
        <v>0</v>
      </c>
    </row>
    <row r="635" spans="1:3">
      <c r="A635" s="146" t="e">
        <f>$C$1&amp;".E30A.REM.FR.UIBUS.DISB._INT.10.1_11_PERCT."</f>
        <v>#N/A</v>
      </c>
      <c r="B635" s="43">
        <f>ROUND(PAGE5!$C$85,5)</f>
        <v>0</v>
      </c>
      <c r="C635" s="43">
        <f>ROUND(PAGE5!$E$85,5)</f>
        <v>0</v>
      </c>
    </row>
    <row r="636" spans="1:3">
      <c r="A636" s="146" t="e">
        <f>$C$1&amp;".E30A.REM.VAR.UIBUS.DISB._INT.10.1_11_PERCT."</f>
        <v>#N/A</v>
      </c>
      <c r="B636" s="43">
        <f>ROUND(PAGE5!$G$85,5)</f>
        <v>0</v>
      </c>
      <c r="C636" s="43">
        <f>ROUND(PAGE5!$I$85,5)</f>
        <v>0</v>
      </c>
    </row>
    <row r="637" spans="1:3">
      <c r="A637" s="146" t="e">
        <f>$C$1&amp;".E30A.REM.ADJ.UIBUS.DISB._INT.10.1_11_PERCT."</f>
        <v>#N/A</v>
      </c>
      <c r="B637" s="43">
        <f>ROUND(PAGE5!$K$85,5)</f>
        <v>0</v>
      </c>
      <c r="C637" s="43">
        <f>ROUND(PAGE5!$M$85,5)</f>
        <v>0</v>
      </c>
    </row>
    <row r="638" spans="1:3">
      <c r="A638" s="146" t="e">
        <f>$C$1&amp;".E30A.REM.UIBUS.DISB._INT.10.1_11_PERCT.TTL."</f>
        <v>#N/A</v>
      </c>
      <c r="B638" s="43">
        <f>ROUND(PAGE5!$P$85,5)</f>
        <v>0</v>
      </c>
      <c r="C638" s="43">
        <f>ROUND(PAGE5!$R$85,5)</f>
        <v>0</v>
      </c>
    </row>
    <row r="639" spans="1:3">
      <c r="A639" s="146" t="e">
        <f>$C$1&amp;".E30A.REM.FR.UIBUS.DISB._INT.11.1_12_PERCT."</f>
        <v>#N/A</v>
      </c>
      <c r="B639" s="43">
        <f>ROUND(PAGE5!$C$86,5)</f>
        <v>0</v>
      </c>
      <c r="C639" s="43">
        <f>ROUND(PAGE5!$E$86,5)</f>
        <v>0</v>
      </c>
    </row>
    <row r="640" spans="1:3">
      <c r="A640" s="146" t="e">
        <f>$C$1&amp;".E30A.REM.VAR.UIBUS.DISB._INT.11.1_12_PERCT."</f>
        <v>#N/A</v>
      </c>
      <c r="B640" s="43">
        <f>ROUND(PAGE5!$G$86,5)</f>
        <v>0</v>
      </c>
      <c r="C640" s="43">
        <f>ROUND(PAGE5!$I$86,5)</f>
        <v>0</v>
      </c>
    </row>
    <row r="641" spans="1:3">
      <c r="A641" s="146" t="e">
        <f>$C$1&amp;".E30A.REM.ADJ.UIBUS.DISB._INT.11.1_12_PERCT."</f>
        <v>#N/A</v>
      </c>
      <c r="B641" s="43">
        <f>ROUND(PAGE5!$K$86,5)</f>
        <v>0</v>
      </c>
      <c r="C641" s="43">
        <f>ROUND(PAGE5!$M$86,5)</f>
        <v>0</v>
      </c>
    </row>
    <row r="642" spans="1:3">
      <c r="A642" s="146" t="e">
        <f>$C$1&amp;".E30A.REM.UIBUS.DISB._INT.11.1_12_PERCT.TTL."</f>
        <v>#N/A</v>
      </c>
      <c r="B642" s="43">
        <f>ROUND(PAGE5!$P$86,5)</f>
        <v>0</v>
      </c>
      <c r="C642" s="43">
        <f>ROUND(PAGE5!$R$86,5)</f>
        <v>0</v>
      </c>
    </row>
    <row r="643" spans="1:3">
      <c r="A643" s="146" t="e">
        <f>$C$1&amp;".E30A.REM.FR.UIBUS.DISB._INT.12.1_13_PERCT."</f>
        <v>#N/A</v>
      </c>
      <c r="B643" s="43">
        <f>ROUND(PAGE5!$C$87,5)</f>
        <v>0</v>
      </c>
      <c r="C643" s="43">
        <f>ROUND(PAGE5!$E$87,5)</f>
        <v>0</v>
      </c>
    </row>
    <row r="644" spans="1:3">
      <c r="A644" s="146" t="e">
        <f>$C$1&amp;".E30A.REM.VAR.UIBUS.DISB._INT.12.1_13_PERCT."</f>
        <v>#N/A</v>
      </c>
      <c r="B644" s="43">
        <f>ROUND(PAGE5!$G$87,5)</f>
        <v>0</v>
      </c>
      <c r="C644" s="43">
        <f>ROUND(PAGE5!$I$87,5)</f>
        <v>0</v>
      </c>
    </row>
    <row r="645" spans="1:3">
      <c r="A645" s="146" t="e">
        <f>$C$1&amp;".E30A.REM.ADJ.UIBUS.DISB._INT.12.1_13_PERCT."</f>
        <v>#N/A</v>
      </c>
      <c r="B645" s="43">
        <f>ROUND(PAGE5!$K$87,5)</f>
        <v>0</v>
      </c>
      <c r="C645" s="43">
        <f>ROUND(PAGE5!$M$87,5)</f>
        <v>0</v>
      </c>
    </row>
    <row r="646" spans="1:3">
      <c r="A646" s="146" t="e">
        <f>$C$1&amp;".E30A.REM.UIBUS.DISB._INT.12.1_13_PERCT.TTL."</f>
        <v>#N/A</v>
      </c>
      <c r="B646" s="43">
        <f>ROUND(PAGE5!$P$87,5)</f>
        <v>0</v>
      </c>
      <c r="C646" s="43">
        <f>ROUND(PAGE5!$R$87,5)</f>
        <v>0</v>
      </c>
    </row>
    <row r="647" spans="1:3">
      <c r="A647" s="146" t="e">
        <f>$C$1&amp;".E30A.REM.FR.UIBUS.DISB._INT.13.1_14_PERCT."</f>
        <v>#N/A</v>
      </c>
      <c r="B647" s="43">
        <f>ROUND(PAGE5!$C$88,5)</f>
        <v>0</v>
      </c>
      <c r="C647" s="43">
        <f>ROUND(PAGE5!$E$88,5)</f>
        <v>0</v>
      </c>
    </row>
    <row r="648" spans="1:3">
      <c r="A648" s="146" t="e">
        <f>$C$1&amp;".E30A.REM.VAR.UIBUS.DISB._INT.13.1_14_PERCT."</f>
        <v>#N/A</v>
      </c>
      <c r="B648" s="43">
        <f>ROUND(PAGE5!$G$88,5)</f>
        <v>0</v>
      </c>
      <c r="C648" s="43">
        <f>ROUND(PAGE5!$I$88,5)</f>
        <v>0</v>
      </c>
    </row>
    <row r="649" spans="1:3">
      <c r="A649" s="146" t="e">
        <f>$C$1&amp;".E30A.REM.ADJ.UIBUS.DISB._INT.13.1_14_PERCT."</f>
        <v>#N/A</v>
      </c>
      <c r="B649" s="43">
        <f>ROUND(PAGE5!$K$88,5)</f>
        <v>0</v>
      </c>
      <c r="C649" s="43">
        <f>ROUND(PAGE5!$M$88,5)</f>
        <v>0</v>
      </c>
    </row>
    <row r="650" spans="1:3">
      <c r="A650" s="146" t="e">
        <f>$C$1&amp;".E30A.REM.UIBUS.DISB._INT.13.1_14_PERCT.TTL."</f>
        <v>#N/A</v>
      </c>
      <c r="B650" s="43">
        <f>ROUND(PAGE5!$P$88,5)</f>
        <v>0</v>
      </c>
      <c r="C650" s="43">
        <f>ROUND(PAGE5!$R$88,5)</f>
        <v>0</v>
      </c>
    </row>
    <row r="651" spans="1:3">
      <c r="A651" s="146" t="e">
        <f>$C$1&amp;".E30A.REM.FR.UIBUS.DISB._INT.14.1_15_PERCT."</f>
        <v>#N/A</v>
      </c>
      <c r="B651" s="43">
        <f>ROUND(PAGE5!$C$89,5)</f>
        <v>0</v>
      </c>
      <c r="C651" s="43">
        <f>ROUND(PAGE5!$E$89,5)</f>
        <v>0</v>
      </c>
    </row>
    <row r="652" spans="1:3">
      <c r="A652" s="146" t="e">
        <f>$C$1&amp;".E30A.REM.VAR.UIBUS.DISB._INT.14.1_15_PERCT."</f>
        <v>#N/A</v>
      </c>
      <c r="B652" s="43">
        <f>ROUND(PAGE5!$G$89,5)</f>
        <v>0</v>
      </c>
      <c r="C652" s="43">
        <f>ROUND(PAGE5!$I$89,5)</f>
        <v>0</v>
      </c>
    </row>
    <row r="653" spans="1:3">
      <c r="A653" s="146" t="e">
        <f>$C$1&amp;".E30A.REM.ADJ.UIBUS.DISB._INT.14.1_15_PERCT."</f>
        <v>#N/A</v>
      </c>
      <c r="B653" s="43">
        <f>ROUND(PAGE5!$K$89,5)</f>
        <v>0</v>
      </c>
      <c r="C653" s="43">
        <f>ROUND(PAGE5!$M$89,5)</f>
        <v>0</v>
      </c>
    </row>
    <row r="654" spans="1:3">
      <c r="A654" s="146" t="e">
        <f>$C$1&amp;".E30A.REM.UIBUS.DISB._INT.14.1_15_PERCT.TTL."</f>
        <v>#N/A</v>
      </c>
      <c r="B654" s="43">
        <f>ROUND(PAGE5!$P$89,5)</f>
        <v>0</v>
      </c>
      <c r="C654" s="43">
        <f>ROUND(PAGE5!$R$89,5)</f>
        <v>0</v>
      </c>
    </row>
    <row r="655" spans="1:3">
      <c r="A655" s="146" t="e">
        <f>$C$1&amp;".E30A.REM.FR.UIBUS.DISB._INT.OVR_15.1_PERCT."</f>
        <v>#N/A</v>
      </c>
      <c r="B655" s="43">
        <f>ROUND(PAGE5!$C$90,5)</f>
        <v>0</v>
      </c>
      <c r="C655" s="43">
        <f>ROUND(PAGE5!$E$90,5)</f>
        <v>0</v>
      </c>
    </row>
    <row r="656" spans="1:3">
      <c r="A656" s="146" t="e">
        <f>$C$1&amp;".E30A.REM.VAR.UIBUS.DISB._INT.OVR_15.1_PERCT."</f>
        <v>#N/A</v>
      </c>
      <c r="B656" s="43">
        <f>ROUND(PAGE5!$G$90,5)</f>
        <v>0</v>
      </c>
      <c r="C656" s="43">
        <f>ROUND(PAGE5!$I$90,5)</f>
        <v>0</v>
      </c>
    </row>
    <row r="657" spans="1:3">
      <c r="A657" s="146" t="e">
        <f>$C$1&amp;".E30A.REM.ADJ.UIBUS.DISB._INT.OVR_15.1_PERCT."</f>
        <v>#N/A</v>
      </c>
      <c r="B657" s="43">
        <f>ROUND(PAGE5!$K$90,5)</f>
        <v>0</v>
      </c>
      <c r="C657" s="43">
        <f>ROUND(PAGE5!$M$90,5)</f>
        <v>0</v>
      </c>
    </row>
    <row r="658" spans="1:3">
      <c r="A658" s="146" t="e">
        <f>$C$1&amp;".E30A.REM.UIBUS.DISB._INT.OVR_15.1_PERCT.TTL."</f>
        <v>#N/A</v>
      </c>
      <c r="B658" s="43">
        <f>ROUND(PAGE5!$P$90,5)</f>
        <v>0</v>
      </c>
      <c r="C658" s="43">
        <f>ROUND(PAGE5!$R$90,5)</f>
        <v>0</v>
      </c>
    </row>
    <row r="659" spans="1:3">
      <c r="A659" s="146" t="e">
        <f>$C$1&amp;".E30A.REM.FR.CONSM.DISB._INT.0_3_PERCT."</f>
        <v>#N/A</v>
      </c>
      <c r="B659" s="43">
        <f>ROUND(PAGE5!$C$95,5)</f>
        <v>0</v>
      </c>
      <c r="C659" s="43">
        <f>ROUND(PAGE5!$E$95,5)</f>
        <v>0</v>
      </c>
    </row>
    <row r="660" spans="1:3">
      <c r="A660" s="146" t="e">
        <f>$C$1&amp;".E30A.REM.VAR.CONSM.DISB._INT.0_3_PERCT."</f>
        <v>#N/A</v>
      </c>
      <c r="B660" s="43">
        <f>ROUND(PAGE5!$G$95,5)</f>
        <v>0</v>
      </c>
      <c r="C660" s="43">
        <f>ROUND(PAGE5!$I$95,5)</f>
        <v>0</v>
      </c>
    </row>
    <row r="661" spans="1:3">
      <c r="A661" s="146" t="e">
        <f>$C$1&amp;".E30A.REM.ADJ.CONSM.DISB._INT.0_3_PERCT."</f>
        <v>#N/A</v>
      </c>
      <c r="B661" s="43">
        <f>ROUND(PAGE5!$K$95,5)</f>
        <v>0</v>
      </c>
      <c r="C661" s="43">
        <f>ROUND(PAGE5!$M$95,5)</f>
        <v>0</v>
      </c>
    </row>
    <row r="662" spans="1:3">
      <c r="A662" s="146" t="e">
        <f>$C$1&amp;".E30A.REM.CONSM.DISB._INT.0_3_PERCT.TTL."</f>
        <v>#N/A</v>
      </c>
      <c r="B662" s="43">
        <f>ROUND(PAGE5!$P$95,5)</f>
        <v>0</v>
      </c>
      <c r="C662" s="43">
        <f>ROUND(PAGE5!$R$95,5)</f>
        <v>0</v>
      </c>
    </row>
    <row r="663" spans="1:3">
      <c r="A663" s="146" t="e">
        <f>$C$1&amp;".E30A.REM.FR.CONSM.DISB._INT.3.1_4_PERCT."</f>
        <v>#N/A</v>
      </c>
      <c r="B663" s="43">
        <f>ROUND(PAGE5!$C$96,5)</f>
        <v>0</v>
      </c>
      <c r="C663" s="43">
        <f>ROUND(PAGE5!$E$96,5)</f>
        <v>0</v>
      </c>
    </row>
    <row r="664" spans="1:3">
      <c r="A664" s="146" t="e">
        <f>$C$1&amp;".E30A.REM.VAR.CONSM.DISB._INT.3.1_4_PERCT."</f>
        <v>#N/A</v>
      </c>
      <c r="B664" s="43">
        <f>ROUND(PAGE5!$G$96,5)</f>
        <v>0</v>
      </c>
      <c r="C664" s="43">
        <f>ROUND(PAGE5!$I$96,5)</f>
        <v>0</v>
      </c>
    </row>
    <row r="665" spans="1:3">
      <c r="A665" s="146" t="e">
        <f>$C$1&amp;".E30A.REM.ADJ.CONSM.DISB._INT.3.1_4_PERCT."</f>
        <v>#N/A</v>
      </c>
      <c r="B665" s="43">
        <f>ROUND(PAGE5!$K$96,5)</f>
        <v>0</v>
      </c>
      <c r="C665" s="43">
        <f>ROUND(PAGE5!$M$96,5)</f>
        <v>0</v>
      </c>
    </row>
    <row r="666" spans="1:3">
      <c r="A666" s="146" t="e">
        <f>$C$1&amp;".E30A.REM.CONSM.DISB._INT.3.1_4_PERCT.TTL."</f>
        <v>#N/A</v>
      </c>
      <c r="B666" s="43">
        <f>ROUND(PAGE5!$P$96,5)</f>
        <v>0</v>
      </c>
      <c r="C666" s="43">
        <f>ROUND(PAGE5!$R$96,5)</f>
        <v>0</v>
      </c>
    </row>
    <row r="667" spans="1:3">
      <c r="A667" s="146" t="e">
        <f>$C$1&amp;".E30A.REM.FR.CONSM.DISB._INT.4.1_5_PERCT."</f>
        <v>#N/A</v>
      </c>
      <c r="B667" s="43">
        <f>ROUND(PAGE5!$C$97,5)</f>
        <v>0</v>
      </c>
      <c r="C667" s="43">
        <f>ROUND(PAGE5!$E$97,5)</f>
        <v>0</v>
      </c>
    </row>
    <row r="668" spans="1:3">
      <c r="A668" s="146" t="e">
        <f>$C$1&amp;".E30A.REM.VAR.CONSM.DISB._INT.4.1_5_PERCT."</f>
        <v>#N/A</v>
      </c>
      <c r="B668" s="43">
        <f>ROUND(PAGE5!$G$97,5)</f>
        <v>0</v>
      </c>
      <c r="C668" s="43">
        <f>ROUND(PAGE5!$I$97,5)</f>
        <v>0</v>
      </c>
    </row>
    <row r="669" spans="1:3">
      <c r="A669" s="146" t="e">
        <f>$C$1&amp;".E30A.REM.ADJ.CONSM.DISB._INT.4.1_5_PERCT."</f>
        <v>#N/A</v>
      </c>
      <c r="B669" s="43">
        <f>ROUND(PAGE5!$K$97,5)</f>
        <v>0</v>
      </c>
      <c r="C669" s="43">
        <f>ROUND(PAGE5!$M$97,5)</f>
        <v>0</v>
      </c>
    </row>
    <row r="670" spans="1:3">
      <c r="A670" s="146" t="e">
        <f>$C$1&amp;".E30A.REM.CONSM.DISB._INT.4.1_5_PERCT.TTL."</f>
        <v>#N/A</v>
      </c>
      <c r="B670" s="43">
        <f>ROUND(PAGE5!$P$97,5)</f>
        <v>0</v>
      </c>
      <c r="C670" s="43">
        <f>ROUND(PAGE5!$R$97,5)</f>
        <v>0</v>
      </c>
    </row>
    <row r="671" spans="1:3">
      <c r="A671" s="146" t="e">
        <f>$C$1&amp;".E30A.REM.FR.CONSM.DISB._INT.5.1_6_PERCT."</f>
        <v>#N/A</v>
      </c>
      <c r="B671" s="43">
        <f>ROUND(PAGE5!$C$98,5)</f>
        <v>0</v>
      </c>
      <c r="C671" s="43">
        <f>ROUND(PAGE5!$E$98,5)</f>
        <v>0</v>
      </c>
    </row>
    <row r="672" spans="1:3">
      <c r="A672" s="146" t="e">
        <f>$C$1&amp;".E30A.REM.VAR.CONSM.DISB._INT.5.1_6_PERCT."</f>
        <v>#N/A</v>
      </c>
      <c r="B672" s="43">
        <f>ROUND(PAGE5!$G$98,5)</f>
        <v>0</v>
      </c>
      <c r="C672" s="43">
        <f>ROUND(PAGE5!$I$98,5)</f>
        <v>0</v>
      </c>
    </row>
    <row r="673" spans="1:3">
      <c r="A673" s="146" t="e">
        <f>$C$1&amp;".E30A.REM.ADJ.CONSM.DISB._INT.5.1_6_PERCT."</f>
        <v>#N/A</v>
      </c>
      <c r="B673" s="43">
        <f>ROUND(PAGE5!$K$98,5)</f>
        <v>0</v>
      </c>
      <c r="C673" s="43">
        <f>ROUND(PAGE5!$M$98,5)</f>
        <v>0</v>
      </c>
    </row>
    <row r="674" spans="1:3">
      <c r="A674" s="146" t="e">
        <f>$C$1&amp;".E30A.REM.CONSM.DISB._INT.5.1_6_PERCT.TTL."</f>
        <v>#N/A</v>
      </c>
      <c r="B674" s="43">
        <f>ROUND(PAGE5!$P$98,5)</f>
        <v>0</v>
      </c>
      <c r="C674" s="43">
        <f>ROUND(PAGE5!$R$98,5)</f>
        <v>0</v>
      </c>
    </row>
    <row r="675" spans="1:3">
      <c r="A675" s="146" t="e">
        <f>$C$1&amp;".E30A.REM.FR.CONSM.DISB._INT.6.1_7_PERCT."</f>
        <v>#N/A</v>
      </c>
      <c r="B675" s="43">
        <f>ROUND(PAGE5!$C$99,5)</f>
        <v>0</v>
      </c>
      <c r="C675" s="43">
        <f>ROUND(PAGE5!$E$99,5)</f>
        <v>0</v>
      </c>
    </row>
    <row r="676" spans="1:3">
      <c r="A676" s="146" t="e">
        <f>$C$1&amp;".E30A.REM.VAR.CONSM.DISB._INT.6.1_7_PERCT."</f>
        <v>#N/A</v>
      </c>
      <c r="B676" s="43">
        <f>ROUND(PAGE5!$G$99,5)</f>
        <v>0</v>
      </c>
      <c r="C676" s="43">
        <f>ROUND(PAGE5!$I$99,5)</f>
        <v>0</v>
      </c>
    </row>
    <row r="677" spans="1:3">
      <c r="A677" s="146" t="e">
        <f>$C$1&amp;".E30A.REM.ADJ.CONSM.DISB._INT.6.1_7_PERCT."</f>
        <v>#N/A</v>
      </c>
      <c r="B677" s="43">
        <f>ROUND(PAGE5!$K$99,5)</f>
        <v>0</v>
      </c>
      <c r="C677" s="43">
        <f>ROUND(PAGE5!$M$99,5)</f>
        <v>0</v>
      </c>
    </row>
    <row r="678" spans="1:3">
      <c r="A678" s="146" t="e">
        <f>$C$1&amp;".E30A.REM.CONSM.DISB._INT.6.1_7_PERCT.TTL."</f>
        <v>#N/A</v>
      </c>
      <c r="B678" s="43">
        <f>ROUND(PAGE5!$P$99,5)</f>
        <v>0</v>
      </c>
      <c r="C678" s="43">
        <f>ROUND(PAGE5!$R$99,5)</f>
        <v>0</v>
      </c>
    </row>
    <row r="679" spans="1:3">
      <c r="A679" s="146" t="e">
        <f>$C$1&amp;".E30A.REM.FR.CONSM.DISB._INT.7.1_8_PERCT."</f>
        <v>#N/A</v>
      </c>
      <c r="B679" s="43">
        <f>ROUND(PAGE5!$C$100,5)</f>
        <v>0</v>
      </c>
      <c r="C679" s="43">
        <f>ROUND(PAGE5!$E$100,5)</f>
        <v>0</v>
      </c>
    </row>
    <row r="680" spans="1:3">
      <c r="A680" s="146" t="e">
        <f>$C$1&amp;".E30A.REM.VAR.CONSM.DISB._INT.7.1_8_PERCT."</f>
        <v>#N/A</v>
      </c>
      <c r="B680" s="43">
        <f>ROUND(PAGE5!$G$100,5)</f>
        <v>0</v>
      </c>
      <c r="C680" s="43">
        <f>ROUND(PAGE5!$I$100,5)</f>
        <v>0</v>
      </c>
    </row>
    <row r="681" spans="1:3">
      <c r="A681" s="146" t="e">
        <f>$C$1&amp;".E30A.REM.ADJ.CONSM.DISB._INT.7.1_8_PERCT."</f>
        <v>#N/A</v>
      </c>
      <c r="B681" s="43">
        <f>ROUND(PAGE5!$K$100,5)</f>
        <v>0</v>
      </c>
      <c r="C681" s="43">
        <f>ROUND(PAGE5!$M$100,5)</f>
        <v>0</v>
      </c>
    </row>
    <row r="682" spans="1:3">
      <c r="A682" s="146" t="e">
        <f>$C$1&amp;".E30A.REM.CONSM.DISB._INT.7.1_8_PERCT.TTL."</f>
        <v>#N/A</v>
      </c>
      <c r="B682" s="43">
        <f>ROUND(PAGE5!$P$100,5)</f>
        <v>0</v>
      </c>
      <c r="C682" s="43">
        <f>ROUND(PAGE5!$R$100,5)</f>
        <v>0</v>
      </c>
    </row>
    <row r="683" spans="1:3">
      <c r="A683" s="146" t="e">
        <f>$C$1&amp;".E30A.REM.FR.CONSM.DISB._INT.8.1_9_PERCT."</f>
        <v>#N/A</v>
      </c>
      <c r="B683" s="43">
        <f>ROUND(PAGE5!$C$101,5)</f>
        <v>0</v>
      </c>
      <c r="C683" s="43">
        <f>ROUND(PAGE5!$E$101,5)</f>
        <v>0</v>
      </c>
    </row>
    <row r="684" spans="1:3">
      <c r="A684" s="146" t="e">
        <f>$C$1&amp;".E30A.REM.VAR.CONSM.DISB._INT.8.1_9_PERCT."</f>
        <v>#N/A</v>
      </c>
      <c r="B684" s="43">
        <f>ROUND(PAGE5!$G$101,5)</f>
        <v>0</v>
      </c>
      <c r="C684" s="43">
        <f>ROUND(PAGE5!$I$101,5)</f>
        <v>0</v>
      </c>
    </row>
    <row r="685" spans="1:3">
      <c r="A685" s="146" t="e">
        <f>$C$1&amp;".E30A.REM.ADJ.CONSM.DISB._INT.8.1_9_PERCT."</f>
        <v>#N/A</v>
      </c>
      <c r="B685" s="43">
        <f>ROUND(PAGE5!$K$101,5)</f>
        <v>0</v>
      </c>
      <c r="C685" s="43">
        <f>ROUND(PAGE5!$M$101,5)</f>
        <v>0</v>
      </c>
    </row>
    <row r="686" spans="1:3">
      <c r="A686" s="146" t="e">
        <f>$C$1&amp;".E30A.REM.CONSM.DISB._INT.8.1_9_PERCT.TTL."</f>
        <v>#N/A</v>
      </c>
      <c r="B686" s="43">
        <f>ROUND(PAGE5!$P$101,5)</f>
        <v>0</v>
      </c>
      <c r="C686" s="43">
        <f>ROUND(PAGE5!$R$101,5)</f>
        <v>0</v>
      </c>
    </row>
    <row r="687" spans="1:3">
      <c r="A687" s="146" t="e">
        <f>$C$1&amp;".E30A.REM.FR.CONSM.DISB._INT.9.1_10_PERCT."</f>
        <v>#N/A</v>
      </c>
      <c r="B687" s="43">
        <f>ROUND(PAGE5!$C$102,5)</f>
        <v>0</v>
      </c>
      <c r="C687" s="43">
        <f>ROUND(PAGE5!$E$102,5)</f>
        <v>0</v>
      </c>
    </row>
    <row r="688" spans="1:3">
      <c r="A688" s="146" t="e">
        <f>$C$1&amp;".E30A.REM.VAR.CONSM.DISB._INT.9.1_10_PERCT."</f>
        <v>#N/A</v>
      </c>
      <c r="B688" s="43">
        <f>ROUND(PAGE5!$G$102,5)</f>
        <v>0</v>
      </c>
      <c r="C688" s="43">
        <f>ROUND(PAGE5!$I$102,5)</f>
        <v>0</v>
      </c>
    </row>
    <row r="689" spans="1:3">
      <c r="A689" s="146" t="e">
        <f>$C$1&amp;".E30A.REM.ADJ.CONSM.DISB._INT.9.1_10_PERCT."</f>
        <v>#N/A</v>
      </c>
      <c r="B689" s="43">
        <f>ROUND(PAGE5!$K$102,5)</f>
        <v>0</v>
      </c>
      <c r="C689" s="43">
        <f>ROUND(PAGE5!$M$102,5)</f>
        <v>0</v>
      </c>
    </row>
    <row r="690" spans="1:3">
      <c r="A690" s="146" t="e">
        <f>$C$1&amp;".E30A.REM.CONSM.DISB._INT.9.1_10_PERCT.TTL."</f>
        <v>#N/A</v>
      </c>
      <c r="B690" s="43">
        <f>ROUND(PAGE5!$P$102,5)</f>
        <v>0</v>
      </c>
      <c r="C690" s="43">
        <f>ROUND(PAGE5!$R$102,5)</f>
        <v>0</v>
      </c>
    </row>
    <row r="691" spans="1:3">
      <c r="A691" s="146" t="e">
        <f>$C$1&amp;".E30A.REM.FR.CONSM.DISB._INT.10.1_11_PERCT."</f>
        <v>#N/A</v>
      </c>
      <c r="B691" s="43">
        <f>ROUND(PAGE5!$C$103,5)</f>
        <v>0</v>
      </c>
      <c r="C691" s="43">
        <f>ROUND(PAGE5!$E$103,5)</f>
        <v>0</v>
      </c>
    </row>
    <row r="692" spans="1:3">
      <c r="A692" s="146" t="e">
        <f>$C$1&amp;".E30A.REM.VAR.CONSM.DISB._INT.10.1_11_PERCT."</f>
        <v>#N/A</v>
      </c>
      <c r="B692" s="43">
        <f>ROUND(PAGE5!$G$103,5)</f>
        <v>0</v>
      </c>
      <c r="C692" s="43">
        <f>ROUND(PAGE5!$I$103,5)</f>
        <v>0</v>
      </c>
    </row>
    <row r="693" spans="1:3">
      <c r="A693" s="146" t="e">
        <f>$C$1&amp;".E30A.REM.ADJ.CONSM.DISB._INT.10.1_11_PERCT."</f>
        <v>#N/A</v>
      </c>
      <c r="B693" s="43">
        <f>ROUND(PAGE5!$K$103,5)</f>
        <v>0</v>
      </c>
      <c r="C693" s="43">
        <f>ROUND(PAGE5!$M$103,5)</f>
        <v>0</v>
      </c>
    </row>
    <row r="694" spans="1:3">
      <c r="A694" s="146" t="e">
        <f>$C$1&amp;".E30A.REM.CONSM.DISB._INT.10.1_11_PERCT.TTL."</f>
        <v>#N/A</v>
      </c>
      <c r="B694" s="43">
        <f>ROUND(PAGE5!$P$103,5)</f>
        <v>0</v>
      </c>
      <c r="C694" s="43">
        <f>ROUND(PAGE5!$R$103,5)</f>
        <v>0</v>
      </c>
    </row>
    <row r="695" spans="1:3">
      <c r="A695" s="146" t="e">
        <f>$C$1&amp;".E30A.REM.FR.CONSM.DISB._INT.11.1_12_PERCT."</f>
        <v>#N/A</v>
      </c>
      <c r="B695" s="43">
        <f>ROUND(PAGE5!$C$104,5)</f>
        <v>0</v>
      </c>
      <c r="C695" s="43">
        <f>ROUND(PAGE5!$E$104,5)</f>
        <v>0</v>
      </c>
    </row>
    <row r="696" spans="1:3">
      <c r="A696" s="146" t="e">
        <f>$C$1&amp;".E30A.REM.VAR.CONSM.DISB._INT.11.1_12_PERCT."</f>
        <v>#N/A</v>
      </c>
      <c r="B696" s="43">
        <f>ROUND(PAGE5!$G$104,5)</f>
        <v>0</v>
      </c>
      <c r="C696" s="43">
        <f>ROUND(PAGE5!$I$104,5)</f>
        <v>0</v>
      </c>
    </row>
    <row r="697" spans="1:3">
      <c r="A697" s="146" t="e">
        <f>$C$1&amp;".E30A.REM.ADJ.CONSM.DISB._INT.11.1_12_PERCT."</f>
        <v>#N/A</v>
      </c>
      <c r="B697" s="43">
        <f>ROUND(PAGE5!$K$104,5)</f>
        <v>0</v>
      </c>
      <c r="C697" s="43">
        <f>ROUND(PAGE5!$M$104,5)</f>
        <v>0</v>
      </c>
    </row>
    <row r="698" spans="1:3">
      <c r="A698" s="146" t="e">
        <f>$C$1&amp;".E30A.REM.CONSM.DISB._INT.11.1_12_PERCT.TTL."</f>
        <v>#N/A</v>
      </c>
      <c r="B698" s="43">
        <f>ROUND(PAGE5!$P$104,5)</f>
        <v>0</v>
      </c>
      <c r="C698" s="43">
        <f>ROUND(PAGE5!$R$104,5)</f>
        <v>0</v>
      </c>
    </row>
    <row r="699" spans="1:3">
      <c r="A699" s="146" t="e">
        <f>$C$1&amp;".E30A.REM.FR.CONSM.DISB._INT.12.1_13_PERCT."</f>
        <v>#N/A</v>
      </c>
      <c r="B699" s="43">
        <f>ROUND(PAGE5!$C$105,5)</f>
        <v>0</v>
      </c>
      <c r="C699" s="43">
        <f>ROUND(PAGE5!$E$105,5)</f>
        <v>0</v>
      </c>
    </row>
    <row r="700" spans="1:3">
      <c r="A700" s="146" t="e">
        <f>$C$1&amp;".E30A.REM.VAR.CONSM.DISB._INT.12.1_13_PERCT."</f>
        <v>#N/A</v>
      </c>
      <c r="B700" s="43">
        <f>ROUND(PAGE5!$G$105,5)</f>
        <v>0</v>
      </c>
      <c r="C700" s="43">
        <f>ROUND(PAGE5!$I$105,5)</f>
        <v>0</v>
      </c>
    </row>
    <row r="701" spans="1:3">
      <c r="A701" s="146" t="e">
        <f>$C$1&amp;".E30A.REM.ADJ.CONSM.DISB._INT.12.1_13_PERCT."</f>
        <v>#N/A</v>
      </c>
      <c r="B701" s="43">
        <f>ROUND(PAGE5!$K$105,5)</f>
        <v>0</v>
      </c>
      <c r="C701" s="43">
        <f>ROUND(PAGE5!$M$105,5)</f>
        <v>0</v>
      </c>
    </row>
    <row r="702" spans="1:3">
      <c r="A702" s="146" t="e">
        <f>$C$1&amp;".E30A.REM.CONSM.DISB._INT.12.1_13_PERCT.TTL."</f>
        <v>#N/A</v>
      </c>
      <c r="B702" s="43">
        <f>ROUND(PAGE5!$P$105,5)</f>
        <v>0</v>
      </c>
      <c r="C702" s="43">
        <f>ROUND(PAGE5!$R$105,5)</f>
        <v>0</v>
      </c>
    </row>
    <row r="703" spans="1:3">
      <c r="A703" s="146" t="e">
        <f>$C$1&amp;".E30A.REM.FR.CONSM.DISB._INT.13.1_14_PERCT."</f>
        <v>#N/A</v>
      </c>
      <c r="B703" s="43">
        <f>ROUND(PAGE5!$C$106,5)</f>
        <v>0</v>
      </c>
      <c r="C703" s="43">
        <f>ROUND(PAGE5!$E$106,5)</f>
        <v>0</v>
      </c>
    </row>
    <row r="704" spans="1:3">
      <c r="A704" s="146" t="e">
        <f>$C$1&amp;".E30A.REM.VAR.CONSM.DISB._INT.13.1_14_PERCT."</f>
        <v>#N/A</v>
      </c>
      <c r="B704" s="43">
        <f>ROUND(PAGE5!$G$106,5)</f>
        <v>0</v>
      </c>
      <c r="C704" s="43">
        <f>ROUND(PAGE5!$I$106,5)</f>
        <v>0</v>
      </c>
    </row>
    <row r="705" spans="1:3">
      <c r="A705" s="146" t="e">
        <f>$C$1&amp;".E30A.REM.ADJ.CONSM.DISB._INT.13.1_14_PERCT."</f>
        <v>#N/A</v>
      </c>
      <c r="B705" s="43">
        <f>ROUND(PAGE5!$K$106,5)</f>
        <v>0</v>
      </c>
      <c r="C705" s="43">
        <f>ROUND(PAGE5!$M$106,5)</f>
        <v>0</v>
      </c>
    </row>
    <row r="706" spans="1:3">
      <c r="A706" s="146" t="e">
        <f>$C$1&amp;".E30A.REM.CONSM.DISB._INT.13.1_14_PERCT.TTL."</f>
        <v>#N/A</v>
      </c>
      <c r="B706" s="43">
        <f>ROUND(PAGE5!$P$106,5)</f>
        <v>0</v>
      </c>
      <c r="C706" s="43">
        <f>ROUND(PAGE5!$R$106,5)</f>
        <v>0</v>
      </c>
    </row>
    <row r="707" spans="1:3">
      <c r="A707" s="146" t="e">
        <f>$C$1&amp;".E30A.REM.FR.CONSM.DISB._INT.14.1_15_PERCT."</f>
        <v>#N/A</v>
      </c>
      <c r="B707" s="43">
        <f>ROUND(PAGE5!$C$107,5)</f>
        <v>0</v>
      </c>
      <c r="C707" s="43">
        <f>ROUND(PAGE5!$E$107,5)</f>
        <v>0</v>
      </c>
    </row>
    <row r="708" spans="1:3">
      <c r="A708" s="146" t="e">
        <f>$C$1&amp;".E30A.REM.VAR.CONSM.DISB._INT.14.1_15_PERCT."</f>
        <v>#N/A</v>
      </c>
      <c r="B708" s="43">
        <f>ROUND(PAGE5!$G$107,5)</f>
        <v>0</v>
      </c>
      <c r="C708" s="43">
        <f>ROUND(PAGE5!$I$107,5)</f>
        <v>0</v>
      </c>
    </row>
    <row r="709" spans="1:3">
      <c r="A709" s="146" t="e">
        <f>$C$1&amp;".E30A.REM.ADJ.CONSM.DISB._INT.14.1_15_PERCT."</f>
        <v>#N/A</v>
      </c>
      <c r="B709" s="43">
        <f>ROUND(PAGE5!$K$107,5)</f>
        <v>0</v>
      </c>
      <c r="C709" s="43">
        <f>ROUND(PAGE5!$M$107,5)</f>
        <v>0</v>
      </c>
    </row>
    <row r="710" spans="1:3">
      <c r="A710" s="146" t="e">
        <f>$C$1&amp;".E30A.REM.CONSM.DISB._INT.14.1_15_PERCT.TTL."</f>
        <v>#N/A</v>
      </c>
      <c r="B710" s="43">
        <f>ROUND(PAGE5!$P$107,5)</f>
        <v>0</v>
      </c>
      <c r="C710" s="43">
        <f>ROUND(PAGE5!$R$107,5)</f>
        <v>0</v>
      </c>
    </row>
    <row r="711" spans="1:3">
      <c r="A711" s="146" t="e">
        <f>$C$1&amp;".E30A.REM.FR.CONSM.DISB._INT.OVR_15.1_PERCT."</f>
        <v>#N/A</v>
      </c>
      <c r="B711" s="43">
        <f>ROUND(PAGE5!$C$108,5)</f>
        <v>0</v>
      </c>
      <c r="C711" s="43">
        <f>ROUND(PAGE5!$E$108,5)</f>
        <v>0</v>
      </c>
    </row>
    <row r="712" spans="1:3">
      <c r="A712" s="146" t="e">
        <f>$C$1&amp;".E30A.REM.VAR.CONSM.DISB._INT.OVR_15.1_PERCT."</f>
        <v>#N/A</v>
      </c>
      <c r="B712" s="43">
        <f>ROUND(PAGE5!$G$108,5)</f>
        <v>0</v>
      </c>
      <c r="C712" s="43">
        <f>ROUND(PAGE5!$I$108,5)</f>
        <v>0</v>
      </c>
    </row>
    <row r="713" spans="1:3">
      <c r="A713" s="146" t="e">
        <f>$C$1&amp;".E30A.REM.ADJ.CONSM.DISB._INT.OVR_15.1_PERCT."</f>
        <v>#N/A</v>
      </c>
      <c r="B713" s="43">
        <f>ROUND(PAGE5!$K$108,5)</f>
        <v>0</v>
      </c>
      <c r="C713" s="43">
        <f>ROUND(PAGE5!$M$108,5)</f>
        <v>0</v>
      </c>
    </row>
    <row r="714" spans="1:3">
      <c r="A714" s="146" t="e">
        <f>$C$1&amp;".E30A.REM.CONSM.DISB._INT.OVR_15.1_PERCT.TTL."</f>
        <v>#N/A</v>
      </c>
      <c r="B714" s="43">
        <f>ROUND(PAGE5!$P$108,5)</f>
        <v>0</v>
      </c>
      <c r="C714" s="43">
        <f>ROUND(PAGE5!$R$108,5)</f>
        <v>0</v>
      </c>
    </row>
    <row r="715" spans="1:3">
      <c r="A715" s="152" t="e">
        <f>$C$1&amp;".E30A.REM.FR.DISB.TTL"</f>
        <v>#N/A</v>
      </c>
      <c r="B715" s="43">
        <f>ROUND(PAGE5!$C$112,5)</f>
        <v>0</v>
      </c>
      <c r="C715" s="43">
        <f>ROUND(PAGE5!$E$112,5)</f>
        <v>0</v>
      </c>
    </row>
    <row r="716" spans="1:3">
      <c r="A716" s="152" t="e">
        <f>$C$1&amp;".E30A.REM.VAR.DISB.TTL"</f>
        <v>#N/A</v>
      </c>
      <c r="B716" s="43">
        <f>ROUND(PAGE5!$G$112,5)</f>
        <v>0</v>
      </c>
      <c r="C716" s="43">
        <f>ROUND(PAGE5!$I$112,5)</f>
        <v>0</v>
      </c>
    </row>
    <row r="717" spans="1:3">
      <c r="A717" s="152" t="e">
        <f>$C$1&amp;".E30A.REM.ADJ.DISB.TTL"</f>
        <v>#N/A</v>
      </c>
      <c r="B717" s="43">
        <f>ROUND(PAGE5!$K$112,5)</f>
        <v>0</v>
      </c>
      <c r="C717" s="43">
        <f>ROUND(PAGE5!$M$112,5)</f>
        <v>0</v>
      </c>
    </row>
    <row r="718" spans="1:3">
      <c r="A718" s="152" t="e">
        <f>$C$1&amp;".E30A.REM.DISB._GRNT.AGG_TTL..."</f>
        <v>#N/A</v>
      </c>
      <c r="B718" s="43">
        <f>ROUND(PAGE5!$P$112,5)</f>
        <v>0</v>
      </c>
      <c r="C718" s="43">
        <f>ROUND(PAGE5!$R$112,5)</f>
        <v>0</v>
      </c>
    </row>
    <row r="719" spans="1:3">
      <c r="A719" s="153" t="s">
        <v>167</v>
      </c>
      <c r="B719" s="43" t="s">
        <v>115</v>
      </c>
      <c r="C719" s="43" t="s">
        <v>116</v>
      </c>
    </row>
    <row r="720" spans="1:3">
      <c r="A720" s="146" t="e">
        <f>$C$1&amp;".E30A.REM.FR.PBSEC.OS._INT.0_3_PERCT"</f>
        <v>#N/A</v>
      </c>
      <c r="B720" s="43">
        <f>ROUND(PAGE6!$C$19,5)</f>
        <v>0</v>
      </c>
      <c r="C720" s="43">
        <f>ROUND(PAGE6!$E$19,5)</f>
        <v>0</v>
      </c>
    </row>
    <row r="721" spans="1:3">
      <c r="A721" s="146" t="e">
        <f>$C$1&amp;".E30A.REM.VAR.PBSEC.OS._INT.0_3_PERCT"</f>
        <v>#N/A</v>
      </c>
      <c r="B721" s="43">
        <f>ROUND(PAGE6!$G$19,5)</f>
        <v>0</v>
      </c>
      <c r="C721" s="43">
        <f>ROUND(PAGE6!$I$19,5)</f>
        <v>0</v>
      </c>
    </row>
    <row r="722" spans="1:3">
      <c r="A722" s="146" t="e">
        <f>$C$1&amp;".E30A.REM.ADJ.PBSEC.OS._INT.0_3_PERCT"</f>
        <v>#N/A</v>
      </c>
      <c r="B722" s="43">
        <f>ROUND(PAGE6!$K$19,5)</f>
        <v>0</v>
      </c>
      <c r="C722" s="43">
        <f>ROUND(PAGE6!$M$19,5)</f>
        <v>0</v>
      </c>
    </row>
    <row r="723" spans="1:3">
      <c r="A723" s="146" t="e">
        <f>$C$1&amp;".E30A.REM.PBSEC.OS._INT.0_3_PERCT.TTL"</f>
        <v>#N/A</v>
      </c>
      <c r="B723" s="43">
        <f>ROUND(PAGE6!$P$19,5)</f>
        <v>0</v>
      </c>
      <c r="C723" s="43">
        <f>ROUND(PAGE6!$R$19,5)</f>
        <v>0</v>
      </c>
    </row>
    <row r="724" spans="1:3">
      <c r="A724" s="146" t="e">
        <f>$C$1&amp;".E30A.REM.FR.PBSEC.OS._INT.3.1_4_PERCT"</f>
        <v>#N/A</v>
      </c>
      <c r="B724" s="43">
        <f>ROUND(PAGE6!$C$20,5)</f>
        <v>0</v>
      </c>
      <c r="C724" s="43">
        <f>ROUND(PAGE6!$E$20,5)</f>
        <v>0</v>
      </c>
    </row>
    <row r="725" spans="1:3">
      <c r="A725" s="146" t="e">
        <f>$C$1&amp;".E30A.REM.VAR.PBSEC.OS._INT.3.1_4_PERCT"</f>
        <v>#N/A</v>
      </c>
      <c r="B725" s="43">
        <f>ROUND(PAGE6!$G$20,5)</f>
        <v>0</v>
      </c>
      <c r="C725" s="43">
        <f>ROUND(PAGE6!$I$20,5)</f>
        <v>0</v>
      </c>
    </row>
    <row r="726" spans="1:3">
      <c r="A726" s="146" t="e">
        <f>$C$1&amp;".E30A.REM.ADJ.PBSEC.OS._INT.3.1_4_PERCT"</f>
        <v>#N/A</v>
      </c>
      <c r="B726" s="43">
        <f>ROUND(PAGE6!$K$20,5)</f>
        <v>0</v>
      </c>
      <c r="C726" s="43">
        <f>ROUND(PAGE6!$M$20,5)</f>
        <v>0</v>
      </c>
    </row>
    <row r="727" spans="1:3">
      <c r="A727" s="146" t="e">
        <f>$C$1&amp;".E30A.REM.PBSEC.OS._INT.3.1_4_PERCT.TTL"</f>
        <v>#N/A</v>
      </c>
      <c r="B727" s="43">
        <f>ROUND(PAGE6!$P$20,5)</f>
        <v>0</v>
      </c>
      <c r="C727" s="43">
        <f>ROUND(PAGE6!$R$20,5)</f>
        <v>0</v>
      </c>
    </row>
    <row r="728" spans="1:3">
      <c r="A728" s="146" t="e">
        <f>$C$1&amp;".E30A.REM.FR.PBSEC.OS._INT.4.1_5_PERCT"</f>
        <v>#N/A</v>
      </c>
      <c r="B728" s="43">
        <f>ROUND(PAGE6!$C$21,5)</f>
        <v>0</v>
      </c>
      <c r="C728" s="43">
        <f>ROUND(PAGE6!$E$21,5)</f>
        <v>0</v>
      </c>
    </row>
    <row r="729" spans="1:3">
      <c r="A729" s="146" t="e">
        <f>$C$1&amp;".E30A.REM.VAR.PBSEC.OS._INT.4.1_5_PERCT"</f>
        <v>#N/A</v>
      </c>
      <c r="B729" s="43">
        <f>ROUND(PAGE6!$G$21,5)</f>
        <v>0</v>
      </c>
      <c r="C729" s="43">
        <f>ROUND(PAGE6!$I$21,5)</f>
        <v>0</v>
      </c>
    </row>
    <row r="730" spans="1:3">
      <c r="A730" s="146" t="e">
        <f>$C$1&amp;".E30A.REM.ADJ.PBSEC.OS._INT.4.1_5_PERCT"</f>
        <v>#N/A</v>
      </c>
      <c r="B730" s="43">
        <f>ROUND(PAGE6!$K$21,5)</f>
        <v>0</v>
      </c>
      <c r="C730" s="43">
        <f>ROUND(PAGE6!$M$21,5)</f>
        <v>0</v>
      </c>
    </row>
    <row r="731" spans="1:3">
      <c r="A731" s="146" t="e">
        <f>$C$1&amp;".E30A.REM.PBSEC.OS._INT.4.1_5_PERCT.TTL"</f>
        <v>#N/A</v>
      </c>
      <c r="B731" s="43">
        <f>ROUND(PAGE6!$P$21,5)</f>
        <v>0</v>
      </c>
      <c r="C731" s="43">
        <f>ROUND(PAGE6!$R$21,5)</f>
        <v>0</v>
      </c>
    </row>
    <row r="732" spans="1:3">
      <c r="A732" s="146" t="e">
        <f>$C$1&amp;".E30A.REM.FR.PBSEC.OS._INT.5.1_6_PERCT"</f>
        <v>#N/A</v>
      </c>
      <c r="B732" s="43">
        <f>ROUND(PAGE6!$C$22,5)</f>
        <v>0</v>
      </c>
      <c r="C732" s="43">
        <f>ROUND(PAGE6!$E$22,5)</f>
        <v>0</v>
      </c>
    </row>
    <row r="733" spans="1:3">
      <c r="A733" s="146" t="e">
        <f>$C$1&amp;".E30A.REM.VAR.PBSEC.OS._INT.5.1_6_PERCT"</f>
        <v>#N/A</v>
      </c>
      <c r="B733" s="43">
        <f>ROUND(PAGE6!$G$22,5)</f>
        <v>0</v>
      </c>
      <c r="C733" s="43">
        <f>ROUND(PAGE6!$I$22,5)</f>
        <v>0</v>
      </c>
    </row>
    <row r="734" spans="1:3">
      <c r="A734" s="146" t="e">
        <f>$C$1&amp;".E30A.REM.ADJ.PBSEC.OS._INT.5.1_6_PERCT"</f>
        <v>#N/A</v>
      </c>
      <c r="B734" s="43">
        <f>ROUND(PAGE6!$K$22,5)</f>
        <v>0</v>
      </c>
      <c r="C734" s="43">
        <f>ROUND(PAGE6!$M$22,5)</f>
        <v>0</v>
      </c>
    </row>
    <row r="735" spans="1:3">
      <c r="A735" s="146" t="e">
        <f>$C$1&amp;".E30A.REM.PBSEC.OS._INT.5.1_6_PERCT.TTL"</f>
        <v>#N/A</v>
      </c>
      <c r="B735" s="43">
        <f>ROUND(PAGE6!$P$22,5)</f>
        <v>0</v>
      </c>
      <c r="C735" s="43">
        <f>ROUND(PAGE6!$R$22,5)</f>
        <v>0</v>
      </c>
    </row>
    <row r="736" spans="1:3">
      <c r="A736" s="146" t="e">
        <f>$C$1&amp;".E30A.REM.FR.PBSEC.OS._INT.6.1_7_PERCT"</f>
        <v>#N/A</v>
      </c>
      <c r="B736" s="43">
        <f>ROUND(PAGE6!$C$23,5)</f>
        <v>0</v>
      </c>
      <c r="C736" s="43">
        <f>ROUND(PAGE6!$E$23,5)</f>
        <v>0</v>
      </c>
    </row>
    <row r="737" spans="1:3">
      <c r="A737" s="146" t="e">
        <f>$C$1&amp;".E30A.REM.VAR.PBSEC.OS._INT.6.1_7_PERCT"</f>
        <v>#N/A</v>
      </c>
      <c r="B737" s="43">
        <f>ROUND(PAGE6!$G$23,5)</f>
        <v>0</v>
      </c>
      <c r="C737" s="43">
        <f>ROUND(PAGE6!$I$23,5)</f>
        <v>0</v>
      </c>
    </row>
    <row r="738" spans="1:3">
      <c r="A738" s="146" t="e">
        <f>$C$1&amp;".E30A.REM.ADJ.PBSEC.OS._INT.6.1_7_PERCT"</f>
        <v>#N/A</v>
      </c>
      <c r="B738" s="43">
        <f>ROUND(PAGE6!$K$23,5)</f>
        <v>0</v>
      </c>
      <c r="C738" s="43">
        <f>ROUND(PAGE6!$M$23,5)</f>
        <v>0</v>
      </c>
    </row>
    <row r="739" spans="1:3">
      <c r="A739" s="146" t="e">
        <f>$C$1&amp;".E30A.REM.PBSEC.OS._INT.6.1_7_PERCT.TTL"</f>
        <v>#N/A</v>
      </c>
      <c r="B739" s="43">
        <f>ROUND(PAGE6!$P$23,5)</f>
        <v>0</v>
      </c>
      <c r="C739" s="43">
        <f>ROUND(PAGE6!$R$23,5)</f>
        <v>0</v>
      </c>
    </row>
    <row r="740" spans="1:3">
      <c r="A740" s="146" t="e">
        <f>$C$1&amp;".E30A.REM.FR.PBSEC.OS._INT.7.1_8_PERCT"</f>
        <v>#N/A</v>
      </c>
      <c r="B740" s="43">
        <f>ROUND(PAGE6!$C$24,5)</f>
        <v>0</v>
      </c>
      <c r="C740" s="43">
        <f>ROUND(PAGE6!$E$24,5)</f>
        <v>0</v>
      </c>
    </row>
    <row r="741" spans="1:3">
      <c r="A741" s="146" t="e">
        <f>$C$1&amp;".E30A.REM.VAR.PBSEC.OS._INT.7.1_8_PERCT"</f>
        <v>#N/A</v>
      </c>
      <c r="B741" s="43">
        <f>ROUND(PAGE6!$G$24,5)</f>
        <v>0</v>
      </c>
      <c r="C741" s="43">
        <f>ROUND(PAGE6!$I$24,5)</f>
        <v>0</v>
      </c>
    </row>
    <row r="742" spans="1:3">
      <c r="A742" s="146" t="e">
        <f>$C$1&amp;".E30A.REM.ADJ.PBSEC.OS._INT.7.1_8_PERCT"</f>
        <v>#N/A</v>
      </c>
      <c r="B742" s="43">
        <f>ROUND(PAGE6!$K$24,5)</f>
        <v>0</v>
      </c>
      <c r="C742" s="43">
        <f>ROUND(PAGE6!$M$24,5)</f>
        <v>0</v>
      </c>
    </row>
    <row r="743" spans="1:3">
      <c r="A743" s="146" t="e">
        <f>$C$1&amp;".E30A.REM.PBSEC.OS._INT.7.1_8_PERCT.TTL"</f>
        <v>#N/A</v>
      </c>
      <c r="B743" s="43">
        <f>ROUND(PAGE6!$P$24,5)</f>
        <v>0</v>
      </c>
      <c r="C743" s="43">
        <f>ROUND(PAGE6!$R$24,5)</f>
        <v>0</v>
      </c>
    </row>
    <row r="744" spans="1:3">
      <c r="A744" s="146" t="e">
        <f>$C$1&amp;".E30A.REM.FR.PBSEC.OS._INT.8.1_9_PERCT"</f>
        <v>#N/A</v>
      </c>
      <c r="B744" s="43">
        <f>ROUND(PAGE6!$C$25,5)</f>
        <v>0</v>
      </c>
      <c r="C744" s="43">
        <f>ROUND(PAGE6!$E$25,5)</f>
        <v>0</v>
      </c>
    </row>
    <row r="745" spans="1:3">
      <c r="A745" s="146" t="e">
        <f>$C$1&amp;".E30A.REM.VAR.PBSEC.OS._INT.8.1_9_PERCT"</f>
        <v>#N/A</v>
      </c>
      <c r="B745" s="43">
        <f>ROUND(PAGE6!$G$25,5)</f>
        <v>0</v>
      </c>
      <c r="C745" s="43">
        <f>ROUND(PAGE6!$I$25,5)</f>
        <v>0</v>
      </c>
    </row>
    <row r="746" spans="1:3">
      <c r="A746" s="146" t="e">
        <f>$C$1&amp;".E30A.REM.ADJ.PBSEC.OS._INT.8.1_9_PERCT"</f>
        <v>#N/A</v>
      </c>
      <c r="B746" s="43">
        <f>ROUND(PAGE6!$K$25,5)</f>
        <v>0</v>
      </c>
      <c r="C746" s="43">
        <f>ROUND(PAGE6!$M$25,5)</f>
        <v>0</v>
      </c>
    </row>
    <row r="747" spans="1:3">
      <c r="A747" s="146" t="e">
        <f>$C$1&amp;".E30A.REM.PBSEC.OS._INT.8.1_9_PERCT.TTL"</f>
        <v>#N/A</v>
      </c>
      <c r="B747" s="43">
        <f>ROUND(PAGE6!$P$25,5)</f>
        <v>0</v>
      </c>
      <c r="C747" s="43">
        <f>ROUND(PAGE6!$R$25,5)</f>
        <v>0</v>
      </c>
    </row>
    <row r="748" spans="1:3">
      <c r="A748" s="146" t="e">
        <f>$C$1&amp;".E30A.REM.FR.PBSEC.OS._INT.9.1_10_PERCT"</f>
        <v>#N/A</v>
      </c>
      <c r="B748" s="43">
        <f>ROUND(PAGE6!$C$26,5)</f>
        <v>0</v>
      </c>
      <c r="C748" s="43">
        <f>ROUND(PAGE6!$E$26,5)</f>
        <v>0</v>
      </c>
    </row>
    <row r="749" spans="1:3">
      <c r="A749" s="146" t="e">
        <f>$C$1&amp;".E30A.REM.VAR.PBSEC.OS._INT.9.1_10_PERCT"</f>
        <v>#N/A</v>
      </c>
      <c r="B749" s="43">
        <f>ROUND(PAGE6!$G$26,5)</f>
        <v>0</v>
      </c>
      <c r="C749" s="43">
        <f>ROUND(PAGE6!$I$26,5)</f>
        <v>0</v>
      </c>
    </row>
    <row r="750" spans="1:3">
      <c r="A750" s="146" t="e">
        <f>$C$1&amp;".E30A.REM.ADJ.PBSEC.OS._INT.9.1_10_PERCT"</f>
        <v>#N/A</v>
      </c>
      <c r="B750" s="43">
        <f>ROUND(PAGE6!$K$26,5)</f>
        <v>0</v>
      </c>
      <c r="C750" s="43">
        <f>ROUND(PAGE6!$M$26,5)</f>
        <v>0</v>
      </c>
    </row>
    <row r="751" spans="1:3">
      <c r="A751" s="146" t="e">
        <f>$C$1&amp;".E30A.REM.PBSEC.OS._INT.9.1_10_PERCT.TTL"</f>
        <v>#N/A</v>
      </c>
      <c r="B751" s="43">
        <f>ROUND(PAGE6!$P$26,5)</f>
        <v>0</v>
      </c>
      <c r="C751" s="43">
        <f>ROUND(PAGE6!$R$26,5)</f>
        <v>0</v>
      </c>
    </row>
    <row r="752" spans="1:3">
      <c r="A752" s="146" t="e">
        <f>$C$1&amp;".E30A.REM.FR.PBSEC.OS._INT.10.1_11_PERCT"</f>
        <v>#N/A</v>
      </c>
      <c r="B752" s="43">
        <f>ROUND(PAGE6!$C$27,5)</f>
        <v>0</v>
      </c>
      <c r="C752" s="43">
        <f>ROUND(PAGE6!$E$27,5)</f>
        <v>0</v>
      </c>
    </row>
    <row r="753" spans="1:3">
      <c r="A753" s="146" t="e">
        <f>$C$1&amp;".E30A.REM.VAR.PBSEC.OS._INT.10.1_11_PERCT"</f>
        <v>#N/A</v>
      </c>
      <c r="B753" s="43">
        <f>ROUND(PAGE6!$G$27,5)</f>
        <v>0</v>
      </c>
      <c r="C753" s="43">
        <f>ROUND(PAGE6!$I$27,5)</f>
        <v>0</v>
      </c>
    </row>
    <row r="754" spans="1:3">
      <c r="A754" s="146" t="e">
        <f>$C$1&amp;".E30A.REM.ADJ.PBSEC.OS._INT.10.1_11_PERCT"</f>
        <v>#N/A</v>
      </c>
      <c r="B754" s="43">
        <f>ROUND(PAGE6!$K$27,5)</f>
        <v>0</v>
      </c>
      <c r="C754" s="43">
        <f>ROUND(PAGE6!$M$27,5)</f>
        <v>0</v>
      </c>
    </row>
    <row r="755" spans="1:3">
      <c r="A755" s="146" t="e">
        <f>$C$1&amp;".E30A.REM.PBSEC.OS._INT.10.1_11_PERCT.TTL"</f>
        <v>#N/A</v>
      </c>
      <c r="B755" s="43">
        <f>ROUND(PAGE6!$P$27,5)</f>
        <v>0</v>
      </c>
      <c r="C755" s="43">
        <f>ROUND(PAGE6!$R$27,5)</f>
        <v>0</v>
      </c>
    </row>
    <row r="756" spans="1:3">
      <c r="A756" s="146" t="e">
        <f>$C$1&amp;".E30A.REM.FR.PBSEC.OS._INT.11.1_12_PERCT"</f>
        <v>#N/A</v>
      </c>
      <c r="B756" s="43">
        <f>ROUND(PAGE6!$C$28,5)</f>
        <v>0</v>
      </c>
      <c r="C756" s="43">
        <f>ROUND(PAGE6!$E$28,5)</f>
        <v>0</v>
      </c>
    </row>
    <row r="757" spans="1:3">
      <c r="A757" s="146" t="e">
        <f>$C$1&amp;".E30A.REM.VAR.PBSEC.OS._INT.11.1_12_PERCT"</f>
        <v>#N/A</v>
      </c>
      <c r="B757" s="43">
        <f>ROUND(PAGE6!$G$28,5)</f>
        <v>0</v>
      </c>
      <c r="C757" s="43">
        <f>ROUND(PAGE6!$I$28,5)</f>
        <v>0</v>
      </c>
    </row>
    <row r="758" spans="1:3">
      <c r="A758" s="146" t="e">
        <f>$C$1&amp;".E30A.REM.ADJ.PBSEC.OS._INT.11.1_12_PERCT"</f>
        <v>#N/A</v>
      </c>
      <c r="B758" s="43">
        <f>ROUND(PAGE6!$K$28,5)</f>
        <v>0</v>
      </c>
      <c r="C758" s="43">
        <f>ROUND(PAGE6!$M$28,5)</f>
        <v>0</v>
      </c>
    </row>
    <row r="759" spans="1:3">
      <c r="A759" s="146" t="e">
        <f>$C$1&amp;".E30A.REM.PBSEC.OS._INT.11.1_12_PERCT.TTL"</f>
        <v>#N/A</v>
      </c>
      <c r="B759" s="43">
        <f>ROUND(PAGE6!$P$28,5)</f>
        <v>0</v>
      </c>
      <c r="C759" s="43">
        <f>ROUND(PAGE6!$R$28,5)</f>
        <v>0</v>
      </c>
    </row>
    <row r="760" spans="1:3">
      <c r="A760" s="146" t="e">
        <f>$C$1&amp;".E30A.REM.FR.PBSEC.OS._INT.12.1_13_PERCT"</f>
        <v>#N/A</v>
      </c>
      <c r="B760" s="43">
        <f>ROUND(PAGE6!$C$29,5)</f>
        <v>0</v>
      </c>
      <c r="C760" s="43">
        <f>ROUND(PAGE6!$E$29,5)</f>
        <v>0</v>
      </c>
    </row>
    <row r="761" spans="1:3">
      <c r="A761" s="146" t="e">
        <f>$C$1&amp;".E30A.REM.VAR.PBSEC.OS._INT.12.1_13_PERCT"</f>
        <v>#N/A</v>
      </c>
      <c r="B761" s="43">
        <f>ROUND(PAGE6!$G$29,5)</f>
        <v>0</v>
      </c>
      <c r="C761" s="43">
        <f>ROUND(PAGE6!$I$29,5)</f>
        <v>0</v>
      </c>
    </row>
    <row r="762" spans="1:3">
      <c r="A762" s="146" t="e">
        <f>$C$1&amp;".E30A.REM.ADJ.PBSEC.OS._INT.12.1_13_PERCT"</f>
        <v>#N/A</v>
      </c>
      <c r="B762" s="43">
        <f>ROUND(PAGE6!$K$29,5)</f>
        <v>0</v>
      </c>
      <c r="C762" s="43">
        <f>ROUND(PAGE6!$M$29,5)</f>
        <v>0</v>
      </c>
    </row>
    <row r="763" spans="1:3">
      <c r="A763" s="146" t="e">
        <f>$C$1&amp;".E30A.REM.PBSEC.OS._INT.12.1_13_PERCT.TTL"</f>
        <v>#N/A</v>
      </c>
      <c r="B763" s="43">
        <f>ROUND(PAGE6!$P$29,5)</f>
        <v>0</v>
      </c>
      <c r="C763" s="43">
        <f>ROUND(PAGE6!$R$29,5)</f>
        <v>0</v>
      </c>
    </row>
    <row r="764" spans="1:3">
      <c r="A764" s="146" t="e">
        <f>$C$1&amp;".E30A.REM.FR.PBSEC.OS._INT.13.1_14_PERCT"</f>
        <v>#N/A</v>
      </c>
      <c r="B764" s="43">
        <f>ROUND(PAGE6!$C$30,5)</f>
        <v>0</v>
      </c>
      <c r="C764" s="43">
        <f>ROUND(PAGE6!$E$30,5)</f>
        <v>0</v>
      </c>
    </row>
    <row r="765" spans="1:3">
      <c r="A765" s="146" t="e">
        <f>$C$1&amp;".E30A.REM.VAR.PBSEC.OS._INT.13.1_14_PERCT"</f>
        <v>#N/A</v>
      </c>
      <c r="B765" s="43">
        <f>ROUND(PAGE6!$G$30,5)</f>
        <v>0</v>
      </c>
      <c r="C765" s="43">
        <f>ROUND(PAGE6!$I$30,5)</f>
        <v>0</v>
      </c>
    </row>
    <row r="766" spans="1:3">
      <c r="A766" s="146" t="e">
        <f>$C$1&amp;".E30A.REM.ADJ.PBSEC.OS._INT.13.1_14_PERCT"</f>
        <v>#N/A</v>
      </c>
      <c r="B766" s="43">
        <f>ROUND(PAGE6!$K$30,5)</f>
        <v>0</v>
      </c>
      <c r="C766" s="43">
        <f>ROUND(PAGE6!$M$30,5)</f>
        <v>0</v>
      </c>
    </row>
    <row r="767" spans="1:3">
      <c r="A767" s="146" t="e">
        <f>$C$1&amp;".E30A.REM.PBSEC.OS._INT.13.1_14_PERCT.TTL"</f>
        <v>#N/A</v>
      </c>
      <c r="B767" s="43">
        <f>ROUND(PAGE6!$P$30,5)</f>
        <v>0</v>
      </c>
      <c r="C767" s="43">
        <f>ROUND(PAGE6!$R$30,5)</f>
        <v>0</v>
      </c>
    </row>
    <row r="768" spans="1:3">
      <c r="A768" s="146" t="e">
        <f>$C$1&amp;".E30A.REM.FR.PBSEC.OS._INT.14.1_15_PERCT"</f>
        <v>#N/A</v>
      </c>
      <c r="B768" s="43">
        <f>ROUND(PAGE6!$C$31,5)</f>
        <v>0</v>
      </c>
      <c r="C768" s="43">
        <f>ROUND(PAGE6!$E$31,5)</f>
        <v>0</v>
      </c>
    </row>
    <row r="769" spans="1:3">
      <c r="A769" s="146" t="e">
        <f>$C$1&amp;".E30A.REM.VAR.PBSEC.OS._INT.14.1_15_PERCT"</f>
        <v>#N/A</v>
      </c>
      <c r="B769" s="43">
        <f>ROUND(PAGE6!$G$31,5)</f>
        <v>0</v>
      </c>
      <c r="C769" s="43">
        <f>ROUND(PAGE6!$I$31,5)</f>
        <v>0</v>
      </c>
    </row>
    <row r="770" spans="1:3">
      <c r="A770" s="146" t="e">
        <f>$C$1&amp;".E30A.REM.ADJ.PBSEC.OS._INT.14.1_15_PERCT"</f>
        <v>#N/A</v>
      </c>
      <c r="B770" s="43">
        <f>ROUND(PAGE6!$K$31,5)</f>
        <v>0</v>
      </c>
      <c r="C770" s="43">
        <f>ROUND(PAGE6!$M$31,5)</f>
        <v>0</v>
      </c>
    </row>
    <row r="771" spans="1:3">
      <c r="A771" s="146" t="e">
        <f>$C$1&amp;".E30A.REM.PBSEC.OS._INT.14.1_15_PERCT.TTL"</f>
        <v>#N/A</v>
      </c>
      <c r="B771" s="43">
        <f>ROUND(PAGE6!$P$31,5)</f>
        <v>0</v>
      </c>
      <c r="C771" s="43">
        <f>ROUND(PAGE6!$R$31,5)</f>
        <v>0</v>
      </c>
    </row>
    <row r="772" spans="1:3">
      <c r="A772" s="146" t="e">
        <f>$C$1&amp;".E30A.REM.FR.PBSEC.OS._INT.OVR_15.1_PERCT"</f>
        <v>#N/A</v>
      </c>
      <c r="B772" s="43">
        <f>ROUND(PAGE6!$C$32,5)</f>
        <v>0</v>
      </c>
      <c r="C772" s="43">
        <f>ROUND(PAGE6!$E$32,5)</f>
        <v>0</v>
      </c>
    </row>
    <row r="773" spans="1:3">
      <c r="A773" s="146" t="e">
        <f>$C$1&amp;".E30A.REM.VAR.PBSEC.OS._INT.OVR_15.1_PERCT"</f>
        <v>#N/A</v>
      </c>
      <c r="B773" s="43">
        <f>ROUND(PAGE6!$G$32,5)</f>
        <v>0</v>
      </c>
      <c r="C773" s="43">
        <f>ROUND(PAGE6!$I$32,5)</f>
        <v>0</v>
      </c>
    </row>
    <row r="774" spans="1:3">
      <c r="A774" s="146" t="e">
        <f>$C$1&amp;".E30A.REM.ADJ.PBSEC.OS._INT.OVR_15.1_PERCT"</f>
        <v>#N/A</v>
      </c>
      <c r="B774" s="43">
        <f>ROUND(PAGE6!$K$32,5)</f>
        <v>0</v>
      </c>
      <c r="C774" s="43">
        <f>ROUND(PAGE6!$M$32,5)</f>
        <v>0</v>
      </c>
    </row>
    <row r="775" spans="1:3">
      <c r="A775" s="146" t="e">
        <f>$C$1&amp;".E30A.REM.PBSEC.OS._INT.OVR_15.1_PERCT.TTL"</f>
        <v>#N/A</v>
      </c>
      <c r="B775" s="43">
        <f>ROUND(PAGE6!$P$32,5)</f>
        <v>0</v>
      </c>
      <c r="C775" s="43">
        <f>ROUND(PAGE6!$R$32,5)</f>
        <v>0</v>
      </c>
    </row>
    <row r="776" spans="1:3">
      <c r="A776" s="146" t="e">
        <f>$C$1&amp;".E30A.REM.FR.PVFIN.OS._INT.0_3_PERCT"</f>
        <v>#N/A</v>
      </c>
      <c r="B776" s="43">
        <f>ROUND(PAGE6!$C$38,5)</f>
        <v>0</v>
      </c>
      <c r="C776" s="43">
        <f>ROUND(PAGE6!$E$38,5)</f>
        <v>0</v>
      </c>
    </row>
    <row r="777" spans="1:3">
      <c r="A777" s="146" t="e">
        <f>$C$1&amp;".E30A.REM.VAR.PVFIN.OS._INT.0_3_PERCT"</f>
        <v>#N/A</v>
      </c>
      <c r="B777" s="43">
        <f>ROUND(PAGE6!$G$38,5)</f>
        <v>0</v>
      </c>
      <c r="C777" s="43">
        <f>ROUND(PAGE6!$I$38,5)</f>
        <v>0</v>
      </c>
    </row>
    <row r="778" spans="1:3">
      <c r="A778" s="146" t="e">
        <f>$C$1&amp;".E30A.REM.ADJ.PVFIN.OS._INT.0_3_PERCT"</f>
        <v>#N/A</v>
      </c>
      <c r="B778" s="43">
        <f>ROUND(PAGE6!$K$38,5)</f>
        <v>0</v>
      </c>
      <c r="C778" s="43">
        <f>ROUND(PAGE6!$M$38,5)</f>
        <v>0</v>
      </c>
    </row>
    <row r="779" spans="1:3">
      <c r="A779" s="146" t="e">
        <f>$C$1&amp;".E30A.REM.PVFIN.OS._INT.0_3_PERCT.TTL"</f>
        <v>#N/A</v>
      </c>
      <c r="B779" s="43">
        <f>ROUND(PAGE6!$P$38,5)</f>
        <v>0</v>
      </c>
      <c r="C779" s="43">
        <f>ROUND(PAGE6!$R$38,5)</f>
        <v>0</v>
      </c>
    </row>
    <row r="780" spans="1:3">
      <c r="A780" s="146" t="e">
        <f>$C$1&amp;".E30A.REM.FR.PVFIN.OS._INT.3.1_4_PERCT"</f>
        <v>#N/A</v>
      </c>
      <c r="B780" s="43">
        <f>ROUND(PAGE6!$C$39,5)</f>
        <v>0</v>
      </c>
      <c r="C780" s="43">
        <f>ROUND(PAGE6!$E$39,5)</f>
        <v>0</v>
      </c>
    </row>
    <row r="781" spans="1:3">
      <c r="A781" s="146" t="e">
        <f>$C$1&amp;".E30A.REM.VAR.PVFIN.OS._INT.3.1_4_PERCT"</f>
        <v>#N/A</v>
      </c>
      <c r="B781" s="43">
        <f>ROUND(PAGE6!$G$39,5)</f>
        <v>0</v>
      </c>
      <c r="C781" s="43">
        <f>ROUND(PAGE6!$I$39,5)</f>
        <v>0</v>
      </c>
    </row>
    <row r="782" spans="1:3">
      <c r="A782" s="146" t="e">
        <f>$C$1&amp;".E30A.REM.ADJ.PVFIN.OS._INT.3.1_4_PERCT"</f>
        <v>#N/A</v>
      </c>
      <c r="B782" s="43">
        <f>ROUND(PAGE6!$K$39,5)</f>
        <v>0</v>
      </c>
      <c r="C782" s="43">
        <f>ROUND(PAGE6!$M$39,5)</f>
        <v>0</v>
      </c>
    </row>
    <row r="783" spans="1:3">
      <c r="A783" s="146" t="e">
        <f>$C$1&amp;".E30A.REM.PVFIN.OS._INT.3.1_4_PERCT.TTL"</f>
        <v>#N/A</v>
      </c>
      <c r="B783" s="43">
        <f>ROUND(PAGE6!$P$39,5)</f>
        <v>0</v>
      </c>
      <c r="C783" s="43">
        <f>ROUND(PAGE6!$R$39,5)</f>
        <v>0</v>
      </c>
    </row>
    <row r="784" spans="1:3">
      <c r="A784" s="146" t="e">
        <f>$C$1&amp;".E30A.REM.FR.PVFIN.OS._INT.4.1_5_PERCT"</f>
        <v>#N/A</v>
      </c>
      <c r="B784" s="43">
        <f>ROUND(PAGE6!$C$40,5)</f>
        <v>0</v>
      </c>
      <c r="C784" s="43">
        <f>ROUND(PAGE6!$E$40,5)</f>
        <v>0</v>
      </c>
    </row>
    <row r="785" spans="1:3">
      <c r="A785" s="146" t="e">
        <f>$C$1&amp;".E30A.REM.VAR.PVFIN.OS._INT.4.1_5_PERCT"</f>
        <v>#N/A</v>
      </c>
      <c r="B785" s="43">
        <f>ROUND(PAGE6!$G$40,5)</f>
        <v>0</v>
      </c>
      <c r="C785" s="43">
        <f>ROUND(PAGE6!$I$40,5)</f>
        <v>0</v>
      </c>
    </row>
    <row r="786" spans="1:3">
      <c r="A786" s="146" t="e">
        <f>$C$1&amp;".E30A.REM.ADJ.PVFIN.OS._INT.4.1_5_PERCT"</f>
        <v>#N/A</v>
      </c>
      <c r="B786" s="43">
        <f>ROUND(PAGE6!$K$40,5)</f>
        <v>0</v>
      </c>
      <c r="C786" s="43">
        <f>ROUND(PAGE6!$M$40,5)</f>
        <v>0</v>
      </c>
    </row>
    <row r="787" spans="1:3">
      <c r="A787" s="146" t="e">
        <f>$C$1&amp;".E30A.REM.PVFIN.OS._INT.4.1_5_PERCT.TTL"</f>
        <v>#N/A</v>
      </c>
      <c r="B787" s="43">
        <f>ROUND(PAGE6!$P$40,5)</f>
        <v>0</v>
      </c>
      <c r="C787" s="43">
        <f>ROUND(PAGE6!$R$40,5)</f>
        <v>0</v>
      </c>
    </row>
    <row r="788" spans="1:3">
      <c r="A788" s="146" t="e">
        <f>$C$1&amp;".E30A.REM.FR.PVFIN.OS._INT.5.1_6_PERCT"</f>
        <v>#N/A</v>
      </c>
      <c r="B788" s="43">
        <f>ROUND(PAGE6!$C$41,5)</f>
        <v>0</v>
      </c>
      <c r="C788" s="43">
        <f>ROUND(PAGE6!$E$41,5)</f>
        <v>0</v>
      </c>
    </row>
    <row r="789" spans="1:3">
      <c r="A789" s="146" t="e">
        <f>$C$1&amp;".E30A.REM.VAR.PVFIN.OS._INT.5.1_6_PERCT"</f>
        <v>#N/A</v>
      </c>
      <c r="B789" s="43">
        <f>ROUND(PAGE6!$G$41,5)</f>
        <v>0</v>
      </c>
      <c r="C789" s="43">
        <f>ROUND(PAGE6!$I$41,5)</f>
        <v>0</v>
      </c>
    </row>
    <row r="790" spans="1:3">
      <c r="A790" s="146" t="e">
        <f>$C$1&amp;".E30A.REM.ADJ.PVFIN.OS._INT.5.1_6_PERCT"</f>
        <v>#N/A</v>
      </c>
      <c r="B790" s="43">
        <f>ROUND(PAGE6!$K$41,5)</f>
        <v>0</v>
      </c>
      <c r="C790" s="43">
        <f>ROUND(PAGE6!$M$41,5)</f>
        <v>0</v>
      </c>
    </row>
    <row r="791" spans="1:3">
      <c r="A791" s="146" t="e">
        <f>$C$1&amp;".E30A.REM.PVFIN.OS._INT.5.1_6_PERCT.TTL"</f>
        <v>#N/A</v>
      </c>
      <c r="B791" s="43">
        <f>ROUND(PAGE6!$P$41,5)</f>
        <v>0</v>
      </c>
      <c r="C791" s="43">
        <f>ROUND(PAGE6!$R$41,5)</f>
        <v>0</v>
      </c>
    </row>
    <row r="792" spans="1:3">
      <c r="A792" s="146" t="e">
        <f>$C$1&amp;".E30A.REM.FR.PVFIN.OS._INT.6.1_7_PERCT"</f>
        <v>#N/A</v>
      </c>
      <c r="B792" s="43">
        <f>ROUND(PAGE6!$C$42,5)</f>
        <v>0</v>
      </c>
      <c r="C792" s="43">
        <f>ROUND(PAGE6!$E$42,5)</f>
        <v>0</v>
      </c>
    </row>
    <row r="793" spans="1:3">
      <c r="A793" s="146" t="e">
        <f>$C$1&amp;".E30A.REM.VAR.PVFIN.OS._INT.6.1_7_PERCT"</f>
        <v>#N/A</v>
      </c>
      <c r="B793" s="43">
        <f>ROUND(PAGE6!$G$42,5)</f>
        <v>0</v>
      </c>
      <c r="C793" s="43">
        <f>ROUND(PAGE6!$I$42,5)</f>
        <v>0</v>
      </c>
    </row>
    <row r="794" spans="1:3">
      <c r="A794" s="146" t="e">
        <f>$C$1&amp;".E30A.REM.ADJ.PVFIN.OS._INT.6.1_7_PERCT"</f>
        <v>#N/A</v>
      </c>
      <c r="B794" s="43">
        <f>ROUND(PAGE6!$K$42,5)</f>
        <v>0</v>
      </c>
      <c r="C794" s="43">
        <f>ROUND(PAGE6!$M$42,5)</f>
        <v>0</v>
      </c>
    </row>
    <row r="795" spans="1:3">
      <c r="A795" s="146" t="e">
        <f>$C$1&amp;".E30A.REM.PVFIN.OS._INT.6.1_7_PERCT.TTL"</f>
        <v>#N/A</v>
      </c>
      <c r="B795" s="43">
        <f>ROUND(PAGE6!$P$42,5)</f>
        <v>0</v>
      </c>
      <c r="C795" s="43">
        <f>ROUND(PAGE6!$R$42,5)</f>
        <v>0</v>
      </c>
    </row>
    <row r="796" spans="1:3">
      <c r="A796" s="146" t="e">
        <f>$C$1&amp;".E30A.REM.FR.PVFIN.OS._INT.7.1_8_PERCT"</f>
        <v>#N/A</v>
      </c>
      <c r="B796" s="43">
        <f>ROUND(PAGE6!$C$43,5)</f>
        <v>0</v>
      </c>
      <c r="C796" s="43">
        <f>ROUND(PAGE6!$E$43,5)</f>
        <v>0</v>
      </c>
    </row>
    <row r="797" spans="1:3">
      <c r="A797" s="146" t="e">
        <f>$C$1&amp;".E30A.REM.VAR.PVFIN.OS._INT.7.1_8_PERCT"</f>
        <v>#N/A</v>
      </c>
      <c r="B797" s="43">
        <f>ROUND(PAGE6!$G$43,5)</f>
        <v>0</v>
      </c>
      <c r="C797" s="43">
        <f>ROUND(PAGE6!$I$43,5)</f>
        <v>0</v>
      </c>
    </row>
    <row r="798" spans="1:3">
      <c r="A798" s="146" t="e">
        <f>$C$1&amp;".E30A.REM.ADJ.PVFIN.OS._INT.7.1_8_PERCT"</f>
        <v>#N/A</v>
      </c>
      <c r="B798" s="43">
        <f>ROUND(PAGE6!$K$43,5)</f>
        <v>0</v>
      </c>
      <c r="C798" s="43">
        <f>ROUND(PAGE6!$M$43,5)</f>
        <v>0</v>
      </c>
    </row>
    <row r="799" spans="1:3">
      <c r="A799" s="146" t="e">
        <f>$C$1&amp;".E30A.REM.PVFIN.OS._INT.7.1_8_PERCT.TTL"</f>
        <v>#N/A</v>
      </c>
      <c r="B799" s="43">
        <f>ROUND(PAGE6!$P$43,5)</f>
        <v>0</v>
      </c>
      <c r="C799" s="43">
        <f>ROUND(PAGE6!$R$43,5)</f>
        <v>0</v>
      </c>
    </row>
    <row r="800" spans="1:3">
      <c r="A800" s="146" t="e">
        <f>$C$1&amp;".E30A.REM.FR.PVFIN.OS._INT.8.1_9_PERCT"</f>
        <v>#N/A</v>
      </c>
      <c r="B800" s="43">
        <f>ROUND(PAGE6!$C$44,5)</f>
        <v>0</v>
      </c>
      <c r="C800" s="43">
        <f>ROUND(PAGE6!$E$44,5)</f>
        <v>0</v>
      </c>
    </row>
    <row r="801" spans="1:3">
      <c r="A801" s="146" t="e">
        <f>$C$1&amp;".E30A.REM.VAR.PVFIN.OS._INT.8.1_9_PERCT"</f>
        <v>#N/A</v>
      </c>
      <c r="B801" s="43">
        <f>ROUND(PAGE6!$G$44,5)</f>
        <v>0</v>
      </c>
      <c r="C801" s="43">
        <f>ROUND(PAGE6!$I$44,5)</f>
        <v>0</v>
      </c>
    </row>
    <row r="802" spans="1:3">
      <c r="A802" s="146" t="e">
        <f>$C$1&amp;".E30A.REM.ADJ.PVFIN.OS._INT.8.1_9_PERCT"</f>
        <v>#N/A</v>
      </c>
      <c r="B802" s="43">
        <f>ROUND(PAGE6!$K$44,5)</f>
        <v>0</v>
      </c>
      <c r="C802" s="43">
        <f>ROUND(PAGE6!$M$44,5)</f>
        <v>0</v>
      </c>
    </row>
    <row r="803" spans="1:3">
      <c r="A803" s="146" t="e">
        <f>$C$1&amp;".E30A.REM.PVFIN.OS._INT.8.1_9_PERCT.TTL"</f>
        <v>#N/A</v>
      </c>
      <c r="B803" s="43">
        <f>ROUND(PAGE6!$P$44,5)</f>
        <v>0</v>
      </c>
      <c r="C803" s="43">
        <f>ROUND(PAGE6!$R$44,5)</f>
        <v>0</v>
      </c>
    </row>
    <row r="804" spans="1:3">
      <c r="A804" s="146" t="e">
        <f>$C$1&amp;".E30A.REM.FR.PVFIN.OS._INT.9.1_10_PERCT"</f>
        <v>#N/A</v>
      </c>
      <c r="B804" s="43">
        <f>ROUND(PAGE6!$C$45,5)</f>
        <v>0</v>
      </c>
      <c r="C804" s="43">
        <f>ROUND(PAGE6!$E$45,5)</f>
        <v>0</v>
      </c>
    </row>
    <row r="805" spans="1:3">
      <c r="A805" s="146" t="e">
        <f>$C$1&amp;".E30A.REM.VAR.PVFIN.OS._INT.9.1_10_PERCT"</f>
        <v>#N/A</v>
      </c>
      <c r="B805" s="43">
        <f>ROUND(PAGE6!$G$45,5)</f>
        <v>0</v>
      </c>
      <c r="C805" s="43">
        <f>ROUND(PAGE6!$I$45,5)</f>
        <v>0</v>
      </c>
    </row>
    <row r="806" spans="1:3">
      <c r="A806" s="146" t="e">
        <f>$C$1&amp;".E30A.REM.ADJ.PVFIN.OS._INT.9.1_10_PERCT"</f>
        <v>#N/A</v>
      </c>
      <c r="B806" s="43">
        <f>ROUND(PAGE6!$K$45,5)</f>
        <v>0</v>
      </c>
      <c r="C806" s="43">
        <f>ROUND(PAGE6!$M$45,5)</f>
        <v>0</v>
      </c>
    </row>
    <row r="807" spans="1:3">
      <c r="A807" s="146" t="e">
        <f>$C$1&amp;".E30A.REM.PVFIN.OS._INT.9.1_10_PERCT.TTL"</f>
        <v>#N/A</v>
      </c>
      <c r="B807" s="43">
        <f>ROUND(PAGE6!$P$45,5)</f>
        <v>0</v>
      </c>
      <c r="C807" s="43">
        <f>ROUND(PAGE6!$R$45,5)</f>
        <v>0</v>
      </c>
    </row>
    <row r="808" spans="1:3">
      <c r="A808" s="146" t="e">
        <f>$C$1&amp;".E30A.REM.FR.PVFIN.OS._INT.10.1_11_PERCT"</f>
        <v>#N/A</v>
      </c>
      <c r="B808" s="43">
        <f>ROUND(PAGE6!$C$46,5)</f>
        <v>0</v>
      </c>
      <c r="C808" s="43">
        <f>ROUND(PAGE6!$E$46,5)</f>
        <v>0</v>
      </c>
    </row>
    <row r="809" spans="1:3">
      <c r="A809" s="146" t="e">
        <f>$C$1&amp;".E30A.REM.VAR.PVFIN.OS._INT.10.1_11_PERCT"</f>
        <v>#N/A</v>
      </c>
      <c r="B809" s="43">
        <f>ROUND(PAGE6!$G$46,5)</f>
        <v>0</v>
      </c>
      <c r="C809" s="43">
        <f>ROUND(PAGE6!$I$46,5)</f>
        <v>0</v>
      </c>
    </row>
    <row r="810" spans="1:3">
      <c r="A810" s="146" t="e">
        <f>$C$1&amp;".E30A.REM.ADJ.PVFIN.OS._INT.10.1_11_PERCT"</f>
        <v>#N/A</v>
      </c>
      <c r="B810" s="43">
        <f>ROUND(PAGE6!$K$46,5)</f>
        <v>0</v>
      </c>
      <c r="C810" s="43">
        <f>ROUND(PAGE6!$M$46,5)</f>
        <v>0</v>
      </c>
    </row>
    <row r="811" spans="1:3">
      <c r="A811" s="146" t="e">
        <f>$C$1&amp;".E30A.REM.PVFIN.OS._INT.10.1_11_PERCT.TTL"</f>
        <v>#N/A</v>
      </c>
      <c r="B811" s="43">
        <f>ROUND(PAGE6!$P$46,5)</f>
        <v>0</v>
      </c>
      <c r="C811" s="43">
        <f>ROUND(PAGE6!$R$46,5)</f>
        <v>0</v>
      </c>
    </row>
    <row r="812" spans="1:3">
      <c r="A812" s="146" t="e">
        <f>$C$1&amp;".E30A.REM.FR.PVFIN.OS._INT.11.1_12_PERCT"</f>
        <v>#N/A</v>
      </c>
      <c r="B812" s="43">
        <f>ROUND(PAGE6!$C$47,5)</f>
        <v>0</v>
      </c>
      <c r="C812" s="43">
        <f>ROUND(PAGE6!$E$47,5)</f>
        <v>0</v>
      </c>
    </row>
    <row r="813" spans="1:3">
      <c r="A813" s="146" t="e">
        <f>$C$1&amp;".E30A.REM.VAR.PVFIN.OS._INT.11.1_12_PERCT"</f>
        <v>#N/A</v>
      </c>
      <c r="B813" s="43">
        <f>ROUND(PAGE6!$G$47,5)</f>
        <v>0</v>
      </c>
      <c r="C813" s="43">
        <f>ROUND(PAGE6!$I$47,5)</f>
        <v>0</v>
      </c>
    </row>
    <row r="814" spans="1:3">
      <c r="A814" s="146" t="e">
        <f>$C$1&amp;".E30A.REM.ADJ.PVFIN.OS._INT.11.1_12_PERCT"</f>
        <v>#N/A</v>
      </c>
      <c r="B814" s="43">
        <f>ROUND(PAGE6!$K$47,5)</f>
        <v>0</v>
      </c>
      <c r="C814" s="43">
        <f>ROUND(PAGE6!$M$47,5)</f>
        <v>0</v>
      </c>
    </row>
    <row r="815" spans="1:3">
      <c r="A815" s="146" t="e">
        <f>$C$1&amp;".E30A.REM.PVFIN.OS._INT.11.1_12_PERCT.TTL"</f>
        <v>#N/A</v>
      </c>
      <c r="B815" s="43">
        <f>ROUND(PAGE6!$P$47,5)</f>
        <v>0</v>
      </c>
      <c r="C815" s="43">
        <f>ROUND(PAGE6!$R$47,5)</f>
        <v>0</v>
      </c>
    </row>
    <row r="816" spans="1:3">
      <c r="A816" s="146" t="e">
        <f>$C$1&amp;".E30A.REM.FR.PVFIN.OS._INT.12.1_13_PERCT"</f>
        <v>#N/A</v>
      </c>
      <c r="B816" s="43">
        <f>ROUND(PAGE6!$C$48,5)</f>
        <v>0</v>
      </c>
      <c r="C816" s="43">
        <f>ROUND(PAGE6!$E$48,5)</f>
        <v>0</v>
      </c>
    </row>
    <row r="817" spans="1:3">
      <c r="A817" s="146" t="e">
        <f>$C$1&amp;".E30A.REM.VAR.PVFIN.OS._INT.12.1_13_PERCT"</f>
        <v>#N/A</v>
      </c>
      <c r="B817" s="43">
        <f>ROUND(PAGE6!$G$48,5)</f>
        <v>0</v>
      </c>
      <c r="C817" s="43">
        <f>ROUND(PAGE6!$I$48,5)</f>
        <v>0</v>
      </c>
    </row>
    <row r="818" spans="1:3">
      <c r="A818" s="146" t="e">
        <f>$C$1&amp;".E30A.REM.ADJ.PVFIN.OS._INT.12.1_13_PERCT"</f>
        <v>#N/A</v>
      </c>
      <c r="B818" s="43">
        <f>ROUND(PAGE6!$K$48,5)</f>
        <v>0</v>
      </c>
      <c r="C818" s="43">
        <f>ROUND(PAGE6!$M$48,5)</f>
        <v>0</v>
      </c>
    </row>
    <row r="819" spans="1:3">
      <c r="A819" s="146" t="e">
        <f>$C$1&amp;".E30A.REM.PVFIN.OS._INT.12.1_13_PERCT.TTL"</f>
        <v>#N/A</v>
      </c>
      <c r="B819" s="43">
        <f>ROUND(PAGE6!$P$48,5)</f>
        <v>0</v>
      </c>
      <c r="C819" s="43">
        <f>ROUND(PAGE6!$R$48,5)</f>
        <v>0</v>
      </c>
    </row>
    <row r="820" spans="1:3">
      <c r="A820" s="146" t="e">
        <f>$C$1&amp;".E30A.REM.FR.PVFIN.OS._INT.13.1_14_PERCT"</f>
        <v>#N/A</v>
      </c>
      <c r="B820" s="43">
        <f>ROUND(PAGE6!$C$49,5)</f>
        <v>0</v>
      </c>
      <c r="C820" s="43">
        <f>ROUND(PAGE6!$E$49,5)</f>
        <v>0</v>
      </c>
    </row>
    <row r="821" spans="1:3">
      <c r="A821" s="146" t="e">
        <f>$C$1&amp;".E30A.REM.VAR.PVFIN.OS._INT.13.1_14_PERCT"</f>
        <v>#N/A</v>
      </c>
      <c r="B821" s="43">
        <f>ROUND(PAGE6!$G$49,5)</f>
        <v>0</v>
      </c>
      <c r="C821" s="43">
        <f>ROUND(PAGE6!$I$49,5)</f>
        <v>0</v>
      </c>
    </row>
    <row r="822" spans="1:3">
      <c r="A822" s="146" t="e">
        <f>$C$1&amp;".E30A.REM.ADJ.PVFIN.OS._INT.13.1_14_PERCT"</f>
        <v>#N/A</v>
      </c>
      <c r="B822" s="43">
        <f>ROUND(PAGE6!$K$49,5)</f>
        <v>0</v>
      </c>
      <c r="C822" s="43">
        <f>ROUND(PAGE6!$M$49,5)</f>
        <v>0</v>
      </c>
    </row>
    <row r="823" spans="1:3">
      <c r="A823" s="146" t="e">
        <f>$C$1&amp;".E30A.REM.PVFIN.OS._INT.13.1_14_PERCT.TTL"</f>
        <v>#N/A</v>
      </c>
      <c r="B823" s="43">
        <f>ROUND(PAGE6!$P$49,5)</f>
        <v>0</v>
      </c>
      <c r="C823" s="43">
        <f>ROUND(PAGE6!$R$49,5)</f>
        <v>0</v>
      </c>
    </row>
    <row r="824" spans="1:3">
      <c r="A824" s="146" t="e">
        <f>$C$1&amp;".E30A.REM.FR.PVFIN.OS._INT.14.1_15_PERCT"</f>
        <v>#N/A</v>
      </c>
      <c r="B824" s="43">
        <f>ROUND(PAGE6!$C$50,5)</f>
        <v>0</v>
      </c>
      <c r="C824" s="43">
        <f>ROUND(PAGE6!$E$50,5)</f>
        <v>0</v>
      </c>
    </row>
    <row r="825" spans="1:3">
      <c r="A825" s="146" t="e">
        <f>$C$1&amp;".E30A.REM.VAR.PVFIN.OS._INT.14.1_15_PERCT"</f>
        <v>#N/A</v>
      </c>
      <c r="B825" s="43">
        <f>ROUND(PAGE6!$G$50,5)</f>
        <v>0</v>
      </c>
      <c r="C825" s="43">
        <f>ROUND(PAGE6!$I$50,5)</f>
        <v>0</v>
      </c>
    </row>
    <row r="826" spans="1:3">
      <c r="A826" s="146" t="e">
        <f>$C$1&amp;".E30A.REM.ADJ.PVFIN.OS._INT.14.1_15_PERCT"</f>
        <v>#N/A</v>
      </c>
      <c r="B826" s="43">
        <f>ROUND(PAGE6!$K$50,5)</f>
        <v>0</v>
      </c>
      <c r="C826" s="43">
        <f>ROUND(PAGE6!$M$50,5)</f>
        <v>0</v>
      </c>
    </row>
    <row r="827" spans="1:3">
      <c r="A827" s="146" t="e">
        <f>$C$1&amp;".E30A.REM.PVFIN.OS._INT.14.1_15_PERCT.TTL"</f>
        <v>#N/A</v>
      </c>
      <c r="B827" s="43">
        <f>ROUND(PAGE6!$P$50,5)</f>
        <v>0</v>
      </c>
      <c r="C827" s="43">
        <f>ROUND(PAGE6!$R$50,5)</f>
        <v>0</v>
      </c>
    </row>
    <row r="828" spans="1:3">
      <c r="A828" s="146" t="e">
        <f>$C$1&amp;".E30A.REM.FR.PVFIN.OS._INT.OVR_15.1_PERCT"</f>
        <v>#N/A</v>
      </c>
      <c r="B828" s="43">
        <f>ROUND(PAGE6!$C$51,5)</f>
        <v>0</v>
      </c>
      <c r="C828" s="43">
        <f>ROUND(PAGE6!$E$51,5)</f>
        <v>0</v>
      </c>
    </row>
    <row r="829" spans="1:3">
      <c r="A829" s="146" t="e">
        <f>$C$1&amp;".E30A.REM.VAR.PVFIN.OS._INT.OVR_15.1_PERCT"</f>
        <v>#N/A</v>
      </c>
      <c r="B829" s="43">
        <f>ROUND(PAGE6!$G$51,5)</f>
        <v>0</v>
      </c>
      <c r="C829" s="43">
        <f>ROUND(PAGE6!$I$51,5)</f>
        <v>0</v>
      </c>
    </row>
    <row r="830" spans="1:3">
      <c r="A830" s="146" t="e">
        <f>$C$1&amp;".E30A.REM.ADJ.PVFIN.OS._INT.OVR_15.1_PERCT"</f>
        <v>#N/A</v>
      </c>
      <c r="B830" s="43">
        <f>ROUND(PAGE6!$K$51,5)</f>
        <v>0</v>
      </c>
      <c r="C830" s="43">
        <f>ROUND(PAGE6!$M$51,5)</f>
        <v>0</v>
      </c>
    </row>
    <row r="831" spans="1:3">
      <c r="A831" s="146" t="e">
        <f>$C$1&amp;".E30A.REM.PVFIN.OS._INT.OVR_15.1_PERCT.TTL"</f>
        <v>#N/A</v>
      </c>
      <c r="B831" s="43">
        <f>ROUND(PAGE6!$P$51,5)</f>
        <v>0</v>
      </c>
      <c r="C831" s="43">
        <f>ROUND(PAGE6!$R$51,5)</f>
        <v>0</v>
      </c>
    </row>
    <row r="832" spans="1:3">
      <c r="A832" s="146" t="e">
        <f>$C$1&amp;".E30A.REM.FR.IBUS.OS._INT.0_3_PERCT"</f>
        <v>#N/A</v>
      </c>
      <c r="B832" s="43">
        <f>ROUND(PAGE6!$C$57,5)</f>
        <v>0</v>
      </c>
      <c r="C832" s="43">
        <f>ROUND(PAGE6!$E$57,5)</f>
        <v>0</v>
      </c>
    </row>
    <row r="833" spans="1:3">
      <c r="A833" s="146" t="e">
        <f>$C$1&amp;".E30A.REM.VAR.IBUS.OS._INT.0_3_PERCT"</f>
        <v>#N/A</v>
      </c>
      <c r="B833" s="43">
        <f>ROUND(PAGE6!$G$57,5)</f>
        <v>0</v>
      </c>
      <c r="C833" s="43">
        <f>ROUND(PAGE6!$I$57,5)</f>
        <v>0</v>
      </c>
    </row>
    <row r="834" spans="1:3">
      <c r="A834" s="146" t="e">
        <f>$C$1&amp;".E30A.REM.ADJ.IBUS.OS._INT.0_3_PERCT"</f>
        <v>#N/A</v>
      </c>
      <c r="B834" s="43">
        <f>ROUND(PAGE6!$K$57,5)</f>
        <v>0</v>
      </c>
      <c r="C834" s="43">
        <f>ROUND(PAGE6!$M$57,5)</f>
        <v>0</v>
      </c>
    </row>
    <row r="835" spans="1:3">
      <c r="A835" s="146" t="e">
        <f>$C$1&amp;".E30A.REM.IBUS.OS._INT.0_3_PERCT.TTL"</f>
        <v>#N/A</v>
      </c>
      <c r="B835" s="154">
        <f>ROUND(PAGE6!$P$57,5)</f>
        <v>0</v>
      </c>
      <c r="C835" s="43">
        <f>ROUND(PAGE6!$R$57,5)</f>
        <v>0</v>
      </c>
    </row>
    <row r="836" spans="1:3">
      <c r="A836" s="146" t="e">
        <f>$C$1&amp;".E30A.REM.FR.IBUS.OS._INT.3.1_4_PERCT"</f>
        <v>#N/A</v>
      </c>
      <c r="B836" s="43">
        <f>ROUND(PAGE6!$C$58,5)</f>
        <v>0</v>
      </c>
      <c r="C836" s="43">
        <f>ROUND(PAGE6!$E$58,5)</f>
        <v>0</v>
      </c>
    </row>
    <row r="837" spans="1:3">
      <c r="A837" s="146" t="e">
        <f>$C$1&amp;".E30A.REM.VAR.IBUS.OS._INT.3.1_4_PERCT"</f>
        <v>#N/A</v>
      </c>
      <c r="B837" s="43">
        <f>ROUND(PAGE6!$G$58,5)</f>
        <v>0</v>
      </c>
      <c r="C837" s="43">
        <f>ROUND(PAGE6!$I$58,5)</f>
        <v>0</v>
      </c>
    </row>
    <row r="838" spans="1:3">
      <c r="A838" s="146" t="e">
        <f>$C$1&amp;".E30A.REM.ADJ.IBUS.OS._INT.3.1_4_PERCT"</f>
        <v>#N/A</v>
      </c>
      <c r="B838" s="43">
        <f>ROUND(PAGE6!$K$58,5)</f>
        <v>0</v>
      </c>
      <c r="C838" s="43">
        <f>ROUND(PAGE6!$M$58,5)</f>
        <v>0</v>
      </c>
    </row>
    <row r="839" spans="1:3">
      <c r="A839" s="146" t="e">
        <f>$C$1&amp;".E30A.REM.IBUS.OS._INT.3.1_4_PERCT.TTL"</f>
        <v>#N/A</v>
      </c>
      <c r="B839" s="154">
        <f>ROUND(PAGE6!$P$58,5)</f>
        <v>0</v>
      </c>
      <c r="C839" s="43">
        <f>ROUND(PAGE6!$R$58,5)</f>
        <v>0</v>
      </c>
    </row>
    <row r="840" spans="1:3">
      <c r="A840" s="146" t="e">
        <f>$C$1&amp;".E30A.REM.FR.IBUS.OS._INT.4.1_5_PERCT"</f>
        <v>#N/A</v>
      </c>
      <c r="B840" s="43">
        <f>ROUND(PAGE6!$C$59,5)</f>
        <v>0</v>
      </c>
      <c r="C840" s="43">
        <f>ROUND(PAGE6!$E$59,5)</f>
        <v>0</v>
      </c>
    </row>
    <row r="841" spans="1:3">
      <c r="A841" s="146" t="e">
        <f>$C$1&amp;".E30A.REM.VAR.IBUS.OS._INT.4.1_5_PERCT"</f>
        <v>#N/A</v>
      </c>
      <c r="B841" s="43">
        <f>ROUND(PAGE6!$G$59,5)</f>
        <v>0</v>
      </c>
      <c r="C841" s="43">
        <f>ROUND(PAGE6!$I$59,5)</f>
        <v>0</v>
      </c>
    </row>
    <row r="842" spans="1:3">
      <c r="A842" s="146" t="e">
        <f>$C$1&amp;".E30A.REM.ADJ.IBUS.OS._INT.4.1_5_PERCT"</f>
        <v>#N/A</v>
      </c>
      <c r="B842" s="43">
        <f>ROUND(PAGE6!$K$59,5)</f>
        <v>0</v>
      </c>
      <c r="C842" s="43">
        <f>ROUND(PAGE6!$M$59,5)</f>
        <v>0</v>
      </c>
    </row>
    <row r="843" spans="1:3">
      <c r="A843" s="146" t="e">
        <f>$C$1&amp;".E30A.REM.IBUS.OS._INT.4.1_5_PERCT.TTL"</f>
        <v>#N/A</v>
      </c>
      <c r="B843" s="154">
        <f>ROUND(PAGE6!$P$59,5)</f>
        <v>0</v>
      </c>
      <c r="C843" s="43">
        <f>ROUND(PAGE6!$R$59,5)</f>
        <v>0</v>
      </c>
    </row>
    <row r="844" spans="1:3">
      <c r="A844" s="146" t="e">
        <f>$C$1&amp;".E30A.REM.FR.IBUS.OS._INT.5.1_6_PERCT"</f>
        <v>#N/A</v>
      </c>
      <c r="B844" s="43">
        <f>ROUND(PAGE6!$C$60,5)</f>
        <v>0</v>
      </c>
      <c r="C844" s="43">
        <f>ROUND(PAGE6!$E$60,5)</f>
        <v>0</v>
      </c>
    </row>
    <row r="845" spans="1:3">
      <c r="A845" s="146" t="e">
        <f>$C$1&amp;".E30A.REM.VAR.IBUS.OS._INT.5.1_6_PERCT"</f>
        <v>#N/A</v>
      </c>
      <c r="B845" s="43">
        <f>ROUND(PAGE6!$G$60,5)</f>
        <v>0</v>
      </c>
      <c r="C845" s="43">
        <f>ROUND(PAGE6!$I$60,5)</f>
        <v>0</v>
      </c>
    </row>
    <row r="846" spans="1:3">
      <c r="A846" s="146" t="e">
        <f>$C$1&amp;".E30A.REM.ADJ.IBUS.OS._INT.5.1_6_PERCT"</f>
        <v>#N/A</v>
      </c>
      <c r="B846" s="43">
        <f>ROUND(PAGE6!$K$60,5)</f>
        <v>0</v>
      </c>
      <c r="C846" s="43">
        <f>ROUND(PAGE6!$M$60,5)</f>
        <v>0</v>
      </c>
    </row>
    <row r="847" spans="1:3">
      <c r="A847" s="146" t="e">
        <f>$C$1&amp;".E30A.REM.IBUS.OS._INT.5.1_6_PERCT.TTL"</f>
        <v>#N/A</v>
      </c>
      <c r="B847" s="154">
        <f>ROUND(PAGE6!$P$60,5)</f>
        <v>0</v>
      </c>
      <c r="C847" s="43">
        <f>ROUND(PAGE6!$R$60,5)</f>
        <v>0</v>
      </c>
    </row>
    <row r="848" spans="1:3">
      <c r="A848" s="146" t="e">
        <f>$C$1&amp;".E30A.REM.FR.IBUS.OS._INT.6.1_7_PERCT"</f>
        <v>#N/A</v>
      </c>
      <c r="B848" s="43">
        <f>ROUND(PAGE6!$C$61,5)</f>
        <v>0</v>
      </c>
      <c r="C848" s="43">
        <f>ROUND(PAGE6!$E$61,5)</f>
        <v>0</v>
      </c>
    </row>
    <row r="849" spans="1:3">
      <c r="A849" s="146" t="e">
        <f>$C$1&amp;".E30A.REM.VAR.IBUS.OS._INT.6.1_7_PERCT"</f>
        <v>#N/A</v>
      </c>
      <c r="B849" s="43">
        <f>ROUND(PAGE6!$G$61,5)</f>
        <v>0</v>
      </c>
      <c r="C849" s="43">
        <f>ROUND(PAGE6!$I$61,5)</f>
        <v>0</v>
      </c>
    </row>
    <row r="850" spans="1:3">
      <c r="A850" s="146" t="e">
        <f>$C$1&amp;".E30A.REM.ADJ.IBUS.OS._INT.6.1_7_PERCT"</f>
        <v>#N/A</v>
      </c>
      <c r="B850" s="43">
        <f>ROUND(PAGE6!$K$61,5)</f>
        <v>0</v>
      </c>
      <c r="C850" s="43">
        <f>ROUND(PAGE6!$M$61,5)</f>
        <v>0</v>
      </c>
    </row>
    <row r="851" spans="1:3">
      <c r="A851" s="146" t="e">
        <f>$C$1&amp;".E30A.REM.IBUS.OS._INT.6.1_7_PERCT.TTL"</f>
        <v>#N/A</v>
      </c>
      <c r="B851" s="154">
        <f>ROUND(PAGE6!$P$61,5)</f>
        <v>0</v>
      </c>
      <c r="C851" s="43">
        <f>ROUND(PAGE6!$R$61,5)</f>
        <v>0</v>
      </c>
    </row>
    <row r="852" spans="1:3">
      <c r="A852" s="146" t="e">
        <f>$C$1&amp;".E30A.REM.FR.IBUS.OS._INT.7.1_8_PERCT"</f>
        <v>#N/A</v>
      </c>
      <c r="B852" s="43">
        <f>ROUND(PAGE6!$C$62,5)</f>
        <v>0</v>
      </c>
      <c r="C852" s="43">
        <f>ROUND(PAGE6!$E$62,5)</f>
        <v>0</v>
      </c>
    </row>
    <row r="853" spans="1:3">
      <c r="A853" s="146" t="e">
        <f>$C$1&amp;".E30A.REM.VAR.IBUS.OS._INT.7.1_8_PERCT"</f>
        <v>#N/A</v>
      </c>
      <c r="B853" s="43">
        <f>ROUND(PAGE6!$G$62,5)</f>
        <v>0</v>
      </c>
      <c r="C853" s="43">
        <f>ROUND(PAGE6!$I$62,5)</f>
        <v>0</v>
      </c>
    </row>
    <row r="854" spans="1:3">
      <c r="A854" s="146" t="e">
        <f>$C$1&amp;".E30A.REM.ADJ.IBUS.OS._INT.7.1_8_PERCT"</f>
        <v>#N/A</v>
      </c>
      <c r="B854" s="43">
        <f>ROUND(PAGE6!$K$62,5)</f>
        <v>0</v>
      </c>
      <c r="C854" s="43">
        <f>ROUND(PAGE6!$M$62,5)</f>
        <v>0</v>
      </c>
    </row>
    <row r="855" spans="1:3">
      <c r="A855" s="146" t="e">
        <f>$C$1&amp;".E30A.REM.IBUS.OS._INT.7.1_8_PERCT.TTL"</f>
        <v>#N/A</v>
      </c>
      <c r="B855" s="154">
        <f>ROUND(PAGE6!$P$62,5)</f>
        <v>0</v>
      </c>
      <c r="C855" s="43">
        <f>ROUND(PAGE6!$R$62,5)</f>
        <v>0</v>
      </c>
    </row>
    <row r="856" spans="1:3">
      <c r="A856" s="146" t="e">
        <f>$C$1&amp;".E30A.REM.FR.IBUS.OS._INT.8.1_9_PERCT"</f>
        <v>#N/A</v>
      </c>
      <c r="B856" s="43">
        <f>ROUND(PAGE6!$C$63,5)</f>
        <v>0</v>
      </c>
      <c r="C856" s="43">
        <f>ROUND(PAGE6!$E$63,5)</f>
        <v>0</v>
      </c>
    </row>
    <row r="857" spans="1:3">
      <c r="A857" s="146" t="e">
        <f>$C$1&amp;".E30A.REM.VAR.IBUS.OS._INT.8.1_9_PERCT"</f>
        <v>#N/A</v>
      </c>
      <c r="B857" s="43">
        <f>ROUND(PAGE6!$G$63,5)</f>
        <v>0</v>
      </c>
      <c r="C857" s="43">
        <f>ROUND(PAGE6!$I$63,5)</f>
        <v>0</v>
      </c>
    </row>
    <row r="858" spans="1:3">
      <c r="A858" s="146" t="e">
        <f>$C$1&amp;".E30A.REM.ADJ.IBUS.OS._INT.8.1_9_PERCT"</f>
        <v>#N/A</v>
      </c>
      <c r="B858" s="43">
        <f>ROUND(PAGE6!$K$63,5)</f>
        <v>0</v>
      </c>
      <c r="C858" s="43">
        <f>ROUND(PAGE6!$M$63,5)</f>
        <v>0</v>
      </c>
    </row>
    <row r="859" spans="1:3">
      <c r="A859" s="146" t="e">
        <f>$C$1&amp;".E30A.REM.IBUS.OS._INT.8.1_9_PERCT.TTL"</f>
        <v>#N/A</v>
      </c>
      <c r="B859" s="154">
        <f>ROUND(PAGE6!$P$63,5)</f>
        <v>0</v>
      </c>
      <c r="C859" s="43">
        <f>ROUND(PAGE6!$R$63,5)</f>
        <v>0</v>
      </c>
    </row>
    <row r="860" spans="1:3">
      <c r="A860" s="146" t="e">
        <f>$C$1&amp;".E30A.REM.FR.IBUS.OS._INT.9.1_10_PERCT"</f>
        <v>#N/A</v>
      </c>
      <c r="B860" s="43">
        <f>ROUND(PAGE6!$C$64,5)</f>
        <v>0</v>
      </c>
      <c r="C860" s="43">
        <f>ROUND(PAGE6!$E$64,5)</f>
        <v>0</v>
      </c>
    </row>
    <row r="861" spans="1:3">
      <c r="A861" s="146" t="e">
        <f>$C$1&amp;".E30A.REM.VAR.IBUS.OS._INT.9.1_10_PERCT"</f>
        <v>#N/A</v>
      </c>
      <c r="B861" s="43">
        <f>ROUND(PAGE6!$G$64,5)</f>
        <v>0</v>
      </c>
      <c r="C861" s="43">
        <f>ROUND(PAGE6!$I$64,5)</f>
        <v>0</v>
      </c>
    </row>
    <row r="862" spans="1:3">
      <c r="A862" s="146" t="e">
        <f>$C$1&amp;".E30A.REM.ADJ.IBUS.OS._INT.9.1_10_PERCT"</f>
        <v>#N/A</v>
      </c>
      <c r="B862" s="43">
        <f>ROUND(PAGE6!$K$64,5)</f>
        <v>0</v>
      </c>
      <c r="C862" s="43">
        <f>ROUND(PAGE6!$M$64,5)</f>
        <v>0</v>
      </c>
    </row>
    <row r="863" spans="1:3">
      <c r="A863" s="146" t="e">
        <f>$C$1&amp;".E30A.REM.IBUS.OS._INT.9.1_10_PERCT.TTL"</f>
        <v>#N/A</v>
      </c>
      <c r="B863" s="154">
        <f>ROUND(PAGE6!$P$64,5)</f>
        <v>0</v>
      </c>
      <c r="C863" s="43">
        <f>ROUND(PAGE6!$R$64,5)</f>
        <v>0</v>
      </c>
    </row>
    <row r="864" spans="1:3">
      <c r="A864" s="146" t="e">
        <f>$C$1&amp;".E30A.REM.FR.IBUS.OS._INT.10.1_11_PERCT"</f>
        <v>#N/A</v>
      </c>
      <c r="B864" s="43">
        <f>ROUND(PAGE6!$C$65,5)</f>
        <v>0</v>
      </c>
      <c r="C864" s="43">
        <f>ROUND(PAGE6!$E$65,5)</f>
        <v>0</v>
      </c>
    </row>
    <row r="865" spans="1:3">
      <c r="A865" s="146" t="e">
        <f>$C$1&amp;".E30A.REM.VAR.IBUS.OS._INT.10.1_11_PERCT"</f>
        <v>#N/A</v>
      </c>
      <c r="B865" s="43">
        <f>ROUND(PAGE6!$G$65,5)</f>
        <v>0</v>
      </c>
      <c r="C865" s="43">
        <f>ROUND(PAGE6!$I$65,5)</f>
        <v>0</v>
      </c>
    </row>
    <row r="866" spans="1:3">
      <c r="A866" s="146" t="e">
        <f>$C$1&amp;".E30A.REM.ADJ.IBUS.OS._INT.10.1_11_PERCT"</f>
        <v>#N/A</v>
      </c>
      <c r="B866" s="43">
        <f>ROUND(PAGE6!$K$65,5)</f>
        <v>0</v>
      </c>
      <c r="C866" s="43">
        <f>ROUND(PAGE6!$M$65,5)</f>
        <v>0</v>
      </c>
    </row>
    <row r="867" spans="1:3">
      <c r="A867" s="146" t="e">
        <f>$C$1&amp;".E30A.REM.IBUS.OS._INT.10.1_11_PERCT.TTL"</f>
        <v>#N/A</v>
      </c>
      <c r="B867" s="154">
        <f>ROUND(PAGE6!$P$65,5)</f>
        <v>0</v>
      </c>
      <c r="C867" s="43">
        <f>ROUND(PAGE6!$R$65,5)</f>
        <v>0</v>
      </c>
    </row>
    <row r="868" spans="1:3">
      <c r="A868" s="146" t="e">
        <f>$C$1&amp;".E30A.REM.FR.IBUS.OS._INT.11.1_12_PERCT"</f>
        <v>#N/A</v>
      </c>
      <c r="B868" s="43">
        <f>ROUND(PAGE6!$C$66,5)</f>
        <v>0</v>
      </c>
      <c r="C868" s="43">
        <f>ROUND(PAGE6!$E$66,5)</f>
        <v>0</v>
      </c>
    </row>
    <row r="869" spans="1:3">
      <c r="A869" s="146" t="e">
        <f>$C$1&amp;".E30A.REM.VAR.IBUS.OS._INT.11.1_12_PERCT"</f>
        <v>#N/A</v>
      </c>
      <c r="B869" s="43">
        <f>ROUND(PAGE6!$G$66,5)</f>
        <v>0</v>
      </c>
      <c r="C869" s="43">
        <f>ROUND(PAGE6!$I$66,5)</f>
        <v>0</v>
      </c>
    </row>
    <row r="870" spans="1:3">
      <c r="A870" s="146" t="e">
        <f>$C$1&amp;".E30A.REM.ADJ.IBUS.OS._INT.11.1_12_PERCT"</f>
        <v>#N/A</v>
      </c>
      <c r="B870" s="43">
        <f>ROUND(PAGE6!$K$66,5)</f>
        <v>0</v>
      </c>
      <c r="C870" s="43">
        <f>ROUND(PAGE6!$M$66,5)</f>
        <v>0</v>
      </c>
    </row>
    <row r="871" spans="1:3">
      <c r="A871" s="146" t="e">
        <f>$C$1&amp;".E30A.REM.IBUS.OS._INT.11.1_12_PERCT.TTL"</f>
        <v>#N/A</v>
      </c>
      <c r="B871" s="154">
        <f>ROUND(PAGE6!$P$66,5)</f>
        <v>0</v>
      </c>
      <c r="C871" s="43">
        <f>ROUND(PAGE6!$R$66,5)</f>
        <v>0</v>
      </c>
    </row>
    <row r="872" spans="1:3">
      <c r="A872" s="146" t="e">
        <f>$C$1&amp;".E30A.REM.FR.IBUS.OS._INT.12.1_13_PERCT"</f>
        <v>#N/A</v>
      </c>
      <c r="B872" s="43">
        <f>ROUND(PAGE6!$C$67,5)</f>
        <v>0</v>
      </c>
      <c r="C872" s="43">
        <f>ROUND(PAGE6!$E$67,5)</f>
        <v>0</v>
      </c>
    </row>
    <row r="873" spans="1:3">
      <c r="A873" s="146" t="e">
        <f>$C$1&amp;".E30A.REM.VAR.IBUS.OS._INT.12.1_13_PERCT"</f>
        <v>#N/A</v>
      </c>
      <c r="B873" s="43">
        <f>ROUND(PAGE6!$G$67,5)</f>
        <v>0</v>
      </c>
      <c r="C873" s="43">
        <f>ROUND(PAGE6!$I$67,5)</f>
        <v>0</v>
      </c>
    </row>
    <row r="874" spans="1:3">
      <c r="A874" s="146" t="e">
        <f>$C$1&amp;".E30A.REM.ADJ.IBUS.OS._INT.12.1_13_PERCT"</f>
        <v>#N/A</v>
      </c>
      <c r="B874" s="43">
        <f>ROUND(PAGE6!$K$67,5)</f>
        <v>0</v>
      </c>
      <c r="C874" s="43">
        <f>ROUND(PAGE6!$M$67,5)</f>
        <v>0</v>
      </c>
    </row>
    <row r="875" spans="1:3">
      <c r="A875" s="146" t="e">
        <f>$C$1&amp;".E30A.REM.IBUS.OS._INT.12.1_13_PERCT.TTL"</f>
        <v>#N/A</v>
      </c>
      <c r="B875" s="154">
        <f>ROUND(PAGE6!$P$67,5)</f>
        <v>0</v>
      </c>
      <c r="C875" s="43">
        <f>ROUND(PAGE6!$R$67,5)</f>
        <v>0</v>
      </c>
    </row>
    <row r="876" spans="1:3">
      <c r="A876" s="146" t="e">
        <f>$C$1&amp;".E30A.REM.FR.IBUS.OS._INT.13.1_14_PERCT"</f>
        <v>#N/A</v>
      </c>
      <c r="B876" s="43">
        <f>ROUND(PAGE6!$C$68,5)</f>
        <v>0</v>
      </c>
      <c r="C876" s="43">
        <f>ROUND(PAGE6!$E$68,5)</f>
        <v>0</v>
      </c>
    </row>
    <row r="877" spans="1:3">
      <c r="A877" s="146" t="e">
        <f>$C$1&amp;".E30A.REM.VAR.IBUS.OS._INT.13.1_14_PERCT"</f>
        <v>#N/A</v>
      </c>
      <c r="B877" s="43">
        <f>ROUND(PAGE6!$G$68,5)</f>
        <v>0</v>
      </c>
      <c r="C877" s="43">
        <f>ROUND(PAGE6!$I$68,5)</f>
        <v>0</v>
      </c>
    </row>
    <row r="878" spans="1:3">
      <c r="A878" s="146" t="e">
        <f>$C$1&amp;".E30A.REM.ADJ.IBUS.OS._INT.13.1_14_PERCT"</f>
        <v>#N/A</v>
      </c>
      <c r="B878" s="43">
        <f>ROUND(PAGE6!$K$68,5)</f>
        <v>0</v>
      </c>
      <c r="C878" s="43">
        <f>ROUND(PAGE6!$M$68,5)</f>
        <v>0</v>
      </c>
    </row>
    <row r="879" spans="1:3">
      <c r="A879" s="146" t="e">
        <f>$C$1&amp;".E30A.REM.IBUS.OS._INT.13.1_14_PERCT.TTL"</f>
        <v>#N/A</v>
      </c>
      <c r="B879" s="154">
        <f>ROUND(PAGE6!$P$68,5)</f>
        <v>0</v>
      </c>
      <c r="C879" s="43">
        <f>ROUND(PAGE6!$R$68,5)</f>
        <v>0</v>
      </c>
    </row>
    <row r="880" spans="1:3">
      <c r="A880" s="146" t="e">
        <f>$C$1&amp;".E30A.REM.FR.IBUS.OS._INT.14.1_15_PERCT"</f>
        <v>#N/A</v>
      </c>
      <c r="B880" s="43">
        <f>ROUND(PAGE6!$C$69,5)</f>
        <v>0</v>
      </c>
      <c r="C880" s="43">
        <f>ROUND(PAGE6!$E$69,5)</f>
        <v>0</v>
      </c>
    </row>
    <row r="881" spans="1:3">
      <c r="A881" s="146" t="e">
        <f>$C$1&amp;".E30A.REM.VAR.IBUS.OS._INT.14.1_15_PERCT"</f>
        <v>#N/A</v>
      </c>
      <c r="B881" s="43">
        <f>ROUND(PAGE6!$G$69,5)</f>
        <v>0</v>
      </c>
      <c r="C881" s="43">
        <f>ROUND(PAGE6!$I$69,5)</f>
        <v>0</v>
      </c>
    </row>
    <row r="882" spans="1:3">
      <c r="A882" s="146" t="e">
        <f>$C$1&amp;".E30A.REM.ADJ.IBUS.OS._INT.14.1_15_PERCT"</f>
        <v>#N/A</v>
      </c>
      <c r="B882" s="43">
        <f>ROUND(PAGE6!$K$69,5)</f>
        <v>0</v>
      </c>
      <c r="C882" s="43">
        <f>ROUND(PAGE6!$M$69,5)</f>
        <v>0</v>
      </c>
    </row>
    <row r="883" spans="1:3">
      <c r="A883" s="146" t="e">
        <f>$C$1&amp;".E30A.REM.IBUS.OS._INT.14.1_15_PERCT.TTL"</f>
        <v>#N/A</v>
      </c>
      <c r="B883" s="154">
        <f>ROUND(PAGE6!$P$69,5)</f>
        <v>0</v>
      </c>
      <c r="C883" s="43">
        <f>ROUND(PAGE6!$R$69,5)</f>
        <v>0</v>
      </c>
    </row>
    <row r="884" spans="1:3">
      <c r="A884" s="146" t="e">
        <f>$C$1&amp;".E30A.REM.FR.IBUS.OS._INT.OVR_15.1_PERCT"</f>
        <v>#N/A</v>
      </c>
      <c r="B884" s="43">
        <f>ROUND(PAGE6!$C$70,5)</f>
        <v>0</v>
      </c>
      <c r="C884" s="43">
        <f>ROUND(PAGE6!$E$70,5)</f>
        <v>0</v>
      </c>
    </row>
    <row r="885" spans="1:3">
      <c r="A885" s="146" t="e">
        <f>$C$1&amp;".E30A.REM.VAR.IBUS.OS._INT.OVR_15.1_PERCT"</f>
        <v>#N/A</v>
      </c>
      <c r="B885" s="43">
        <f>ROUND(PAGE6!$G$70,5)</f>
        <v>0</v>
      </c>
      <c r="C885" s="43">
        <f>ROUND(PAGE6!$I$70,5)</f>
        <v>0</v>
      </c>
    </row>
    <row r="886" spans="1:3">
      <c r="A886" s="146" t="e">
        <f>$C$1&amp;".E30A.REM.ADJ.IBUS.OS._INT.OVR_15.1_PERCT"</f>
        <v>#N/A</v>
      </c>
      <c r="B886" s="43">
        <f>ROUND(PAGE6!$K$70,5)</f>
        <v>0</v>
      </c>
      <c r="C886" s="43">
        <f>ROUND(PAGE6!$M$70,5)</f>
        <v>0</v>
      </c>
    </row>
    <row r="887" spans="1:3">
      <c r="A887" s="146" t="e">
        <f>$C$1&amp;".E30A.REM.IBUS.OS._INT.OVR_15.1_PERCT.TTL"</f>
        <v>#N/A</v>
      </c>
      <c r="B887" s="154">
        <f>ROUND(PAGE6!$P$70,5)</f>
        <v>0</v>
      </c>
      <c r="C887" s="43">
        <f>ROUND(PAGE6!$R$70,5)</f>
        <v>0</v>
      </c>
    </row>
    <row r="888" spans="1:3">
      <c r="A888" s="146" t="e">
        <f>$C$1&amp;".E30A.REM.FR.UIBUS.OS._INT.0_3_PERCT"</f>
        <v>#N/A</v>
      </c>
      <c r="B888" s="43">
        <f>ROUND(PAGE6!$C$76,5)</f>
        <v>0</v>
      </c>
      <c r="C888" s="43">
        <f>ROUND(PAGE6!$E$76,5)</f>
        <v>0</v>
      </c>
    </row>
    <row r="889" spans="1:3">
      <c r="A889" s="146" t="e">
        <f>$C$1&amp;".E30A.REM.VAR.UIBUS.OS._INT.0_3_PERCT"</f>
        <v>#N/A</v>
      </c>
      <c r="B889" s="43">
        <f>ROUND(PAGE6!$G$76,5)</f>
        <v>0</v>
      </c>
      <c r="C889" s="43">
        <f>ROUND(PAGE6!$I$76,5)</f>
        <v>0</v>
      </c>
    </row>
    <row r="890" spans="1:3">
      <c r="A890" s="146" t="e">
        <f>$C$1&amp;".E30A.REM.ADJ.UIBUS.OS._INT.0_3_PERCT"</f>
        <v>#N/A</v>
      </c>
      <c r="B890" s="43">
        <f>ROUND(PAGE6!$K$76,5)</f>
        <v>0</v>
      </c>
      <c r="C890" s="43">
        <f>ROUND(PAGE6!$M$76,5)</f>
        <v>0</v>
      </c>
    </row>
    <row r="891" spans="1:3">
      <c r="A891" s="146" t="e">
        <f>$C$1&amp;".E30A.REM.UIBUS.OS._INT.0_3_PERCT.TTL"</f>
        <v>#N/A</v>
      </c>
      <c r="B891" s="43">
        <f>ROUND(PAGE6!$P$76,5)</f>
        <v>0</v>
      </c>
      <c r="C891" s="43">
        <f>ROUND(PAGE6!$R$76,5)</f>
        <v>0</v>
      </c>
    </row>
    <row r="892" spans="1:3">
      <c r="A892" s="146" t="e">
        <f>$C$1&amp;".E30A.REM.FR.UIBUS.OS._INT.3.1_4_PERCT"</f>
        <v>#N/A</v>
      </c>
      <c r="B892" s="43">
        <f>ROUND(PAGE6!$C$77,5)</f>
        <v>0</v>
      </c>
      <c r="C892" s="43">
        <f>ROUND(PAGE6!$E$77,5)</f>
        <v>0</v>
      </c>
    </row>
    <row r="893" spans="1:3">
      <c r="A893" s="146" t="e">
        <f>$C$1&amp;".E30A.REM.VAR.UIBUS.OS._INT.3.1_4_PERCT"</f>
        <v>#N/A</v>
      </c>
      <c r="B893" s="43">
        <f>ROUND(PAGE6!$G$77,5)</f>
        <v>0</v>
      </c>
      <c r="C893" s="43">
        <f>ROUND(PAGE6!$I$77,5)</f>
        <v>0</v>
      </c>
    </row>
    <row r="894" spans="1:3">
      <c r="A894" s="146" t="e">
        <f>$C$1&amp;".E30A.REM.ADJ.UIBUS.OS._INT.3.1_4_PERCT"</f>
        <v>#N/A</v>
      </c>
      <c r="B894" s="43">
        <f>ROUND(PAGE6!$K$77,5)</f>
        <v>0</v>
      </c>
      <c r="C894" s="43">
        <f>ROUND(PAGE6!$M$77,5)</f>
        <v>0</v>
      </c>
    </row>
    <row r="895" spans="1:3">
      <c r="A895" s="146" t="e">
        <f>$C$1&amp;".E30A.REM.UIBUS.OS._INT.3.1_4_PERCT.TTL"</f>
        <v>#N/A</v>
      </c>
      <c r="B895" s="43">
        <f>ROUND(PAGE6!$P$77,5)</f>
        <v>0</v>
      </c>
      <c r="C895" s="43">
        <f>ROUND(PAGE6!$R$77,5)</f>
        <v>0</v>
      </c>
    </row>
    <row r="896" spans="1:3">
      <c r="A896" s="146" t="e">
        <f>$C$1&amp;".E30A.REM.FR.UIBUS.OS._INT.4.1_5_PERCT"</f>
        <v>#N/A</v>
      </c>
      <c r="B896" s="43">
        <f>ROUND(PAGE6!$C$78,5)</f>
        <v>0</v>
      </c>
      <c r="C896" s="43">
        <f>ROUND(PAGE6!$E$78,5)</f>
        <v>0</v>
      </c>
    </row>
    <row r="897" spans="1:3">
      <c r="A897" s="146" t="e">
        <f>$C$1&amp;".E30A.REM.VAR.UIBUS.OS._INT.4.1_5_PERCT"</f>
        <v>#N/A</v>
      </c>
      <c r="B897" s="43">
        <f>ROUND(PAGE6!$G$78,5)</f>
        <v>0</v>
      </c>
      <c r="C897" s="43">
        <f>ROUND(PAGE6!$I$78,5)</f>
        <v>0</v>
      </c>
    </row>
    <row r="898" spans="1:3">
      <c r="A898" s="146" t="e">
        <f>$C$1&amp;".E30A.REM.ADJ.UIBUS.OS._INT.4.1_5_PERCT"</f>
        <v>#N/A</v>
      </c>
      <c r="B898" s="43">
        <f>ROUND(PAGE6!$K$78,5)</f>
        <v>0</v>
      </c>
      <c r="C898" s="43">
        <f>ROUND(PAGE6!$M$78,5)</f>
        <v>0</v>
      </c>
    </row>
    <row r="899" spans="1:3">
      <c r="A899" s="146" t="e">
        <f>$C$1&amp;".E30A.REM.UIBUS.OS._INT.4.1_5_PERCT.TTL"</f>
        <v>#N/A</v>
      </c>
      <c r="B899" s="43">
        <f>ROUND(PAGE6!$P$78,5)</f>
        <v>0</v>
      </c>
      <c r="C899" s="43">
        <f>ROUND(PAGE6!$R$78,5)</f>
        <v>0</v>
      </c>
    </row>
    <row r="900" spans="1:3">
      <c r="A900" s="146" t="e">
        <f>$C$1&amp;".E30A.REM.FR.UIBUS.OS._INT.5.1_6_PERCT"</f>
        <v>#N/A</v>
      </c>
      <c r="B900" s="43">
        <f>ROUND(PAGE6!$C$79,5)</f>
        <v>0</v>
      </c>
      <c r="C900" s="43">
        <f>ROUND(PAGE6!$E$79,5)</f>
        <v>0</v>
      </c>
    </row>
    <row r="901" spans="1:3">
      <c r="A901" s="146" t="e">
        <f>$C$1&amp;".E30A.REM.VAR.UIBUS.OS._INT.5.1_6_PERCT"</f>
        <v>#N/A</v>
      </c>
      <c r="B901" s="43">
        <f>ROUND(PAGE6!$G$79,5)</f>
        <v>0</v>
      </c>
      <c r="C901" s="43">
        <f>ROUND(PAGE6!$I$79,5)</f>
        <v>0</v>
      </c>
    </row>
    <row r="902" spans="1:3">
      <c r="A902" s="146" t="e">
        <f>$C$1&amp;".E30A.REM.ADJ.UIBUS.OS._INT.5.1_6_PERCT"</f>
        <v>#N/A</v>
      </c>
      <c r="B902" s="43">
        <f>ROUND(PAGE6!$K$79,5)</f>
        <v>0</v>
      </c>
      <c r="C902" s="43">
        <f>ROUND(PAGE6!$M$79,5)</f>
        <v>0</v>
      </c>
    </row>
    <row r="903" spans="1:3">
      <c r="A903" s="146" t="e">
        <f>$C$1&amp;".E30A.REM.UIBUS.OS._INT.5.1_6_PERCT.TTL"</f>
        <v>#N/A</v>
      </c>
      <c r="B903" s="43">
        <f>ROUND(PAGE6!$P$79,5)</f>
        <v>0</v>
      </c>
      <c r="C903" s="43">
        <f>ROUND(PAGE6!$R$79,5)</f>
        <v>0</v>
      </c>
    </row>
    <row r="904" spans="1:3">
      <c r="A904" s="146" t="e">
        <f>$C$1&amp;".E30A.REM.FR.UIBUS.OS._INT.6.1_7_PERCT"</f>
        <v>#N/A</v>
      </c>
      <c r="B904" s="43">
        <f>ROUND(PAGE6!$C$80,5)</f>
        <v>0</v>
      </c>
      <c r="C904" s="43">
        <f>ROUND(PAGE6!$E$80,5)</f>
        <v>0</v>
      </c>
    </row>
    <row r="905" spans="1:3">
      <c r="A905" s="146" t="e">
        <f>$C$1&amp;".E30A.REM.VAR.UIBUS.OS._INT.6.1_7_PERCT"</f>
        <v>#N/A</v>
      </c>
      <c r="B905" s="43">
        <f>ROUND(PAGE6!$G$80,5)</f>
        <v>0</v>
      </c>
      <c r="C905" s="43">
        <f>ROUND(PAGE6!$I$80,5)</f>
        <v>0</v>
      </c>
    </row>
    <row r="906" spans="1:3">
      <c r="A906" s="146" t="e">
        <f>$C$1&amp;".E30A.REM.ADJ.UIBUS.OS._INT.6.1_7_PERCT"</f>
        <v>#N/A</v>
      </c>
      <c r="B906" s="43">
        <f>ROUND(PAGE6!$K$80,5)</f>
        <v>0</v>
      </c>
      <c r="C906" s="43">
        <f>ROUND(PAGE6!$M$80,5)</f>
        <v>0</v>
      </c>
    </row>
    <row r="907" spans="1:3">
      <c r="A907" s="146" t="e">
        <f>$C$1&amp;".E30A.REM.UIBUS.OS._INT.6.1_7_PERCT.TTL"</f>
        <v>#N/A</v>
      </c>
      <c r="B907" s="43">
        <f>ROUND(PAGE6!$P$80,5)</f>
        <v>0</v>
      </c>
      <c r="C907" s="43">
        <f>ROUND(PAGE6!$R$80,5)</f>
        <v>0</v>
      </c>
    </row>
    <row r="908" spans="1:3">
      <c r="A908" s="146" t="e">
        <f>$C$1&amp;".E30A.REM.FR.UIBUS.OS._INT.7.1_8_PERCT"</f>
        <v>#N/A</v>
      </c>
      <c r="B908" s="43">
        <f>ROUND(PAGE6!$C$81,5)</f>
        <v>0</v>
      </c>
      <c r="C908" s="43">
        <f>ROUND(PAGE6!$E$81,5)</f>
        <v>0</v>
      </c>
    </row>
    <row r="909" spans="1:3">
      <c r="A909" s="146" t="e">
        <f>$C$1&amp;".E30A.REM.VAR.UIBUS.OS._INT.7.1_8_PERCT"</f>
        <v>#N/A</v>
      </c>
      <c r="B909" s="43">
        <f>ROUND(PAGE6!$G$81,5)</f>
        <v>0</v>
      </c>
      <c r="C909" s="43">
        <f>ROUND(PAGE6!$I$81,5)</f>
        <v>0</v>
      </c>
    </row>
    <row r="910" spans="1:3">
      <c r="A910" s="146" t="e">
        <f>$C$1&amp;".E30A.REM.ADJ.UIBUS.OS._INT.7.1_8_PERCT"</f>
        <v>#N/A</v>
      </c>
      <c r="B910" s="43">
        <f>ROUND(PAGE6!$K$81,5)</f>
        <v>0</v>
      </c>
      <c r="C910" s="43">
        <f>ROUND(PAGE6!$M$81,5)</f>
        <v>0</v>
      </c>
    </row>
    <row r="911" spans="1:3">
      <c r="A911" s="146" t="e">
        <f>$C$1&amp;".E30A.REM.UIBUS.OS._INT.7.1_8_PERCT.TTL"</f>
        <v>#N/A</v>
      </c>
      <c r="B911" s="43">
        <f>ROUND(PAGE6!$P$81,5)</f>
        <v>0</v>
      </c>
      <c r="C911" s="43">
        <f>ROUND(PAGE6!$R$81,5)</f>
        <v>0</v>
      </c>
    </row>
    <row r="912" spans="1:3">
      <c r="A912" s="146" t="e">
        <f>$C$1&amp;".E30A.REM.FR.UIBUS.OS._INT.8.1_9_PERCT"</f>
        <v>#N/A</v>
      </c>
      <c r="B912" s="43">
        <f>ROUND(PAGE6!$C$82,5)</f>
        <v>0</v>
      </c>
      <c r="C912" s="43">
        <f>ROUND(PAGE6!$E$82,5)</f>
        <v>0</v>
      </c>
    </row>
    <row r="913" spans="1:3">
      <c r="A913" s="146" t="e">
        <f>$C$1&amp;".E30A.REM.VAR.UIBUS.OS._INT.8.1_9_PERCT"</f>
        <v>#N/A</v>
      </c>
      <c r="B913" s="43">
        <f>ROUND(PAGE6!$G$82,5)</f>
        <v>0</v>
      </c>
      <c r="C913" s="43">
        <f>ROUND(PAGE6!$I$82,5)</f>
        <v>0</v>
      </c>
    </row>
    <row r="914" spans="1:3">
      <c r="A914" s="146" t="e">
        <f>$C$1&amp;".E30A.REM.ADJ.UIBUS.OS._INT.8.1_9_PERCT"</f>
        <v>#N/A</v>
      </c>
      <c r="B914" s="43">
        <f>ROUND(PAGE6!$K$82,5)</f>
        <v>0</v>
      </c>
      <c r="C914" s="43">
        <f>ROUND(PAGE6!$M$82,5)</f>
        <v>0</v>
      </c>
    </row>
    <row r="915" spans="1:3">
      <c r="A915" s="146" t="e">
        <f>$C$1&amp;".E30A.REM.UIBUS.OS._INT.8.1_9_PERCT.TTL"</f>
        <v>#N/A</v>
      </c>
      <c r="B915" s="43">
        <f>ROUND(PAGE6!$P$82,5)</f>
        <v>0</v>
      </c>
      <c r="C915" s="43">
        <f>ROUND(PAGE6!$R$82,5)</f>
        <v>0</v>
      </c>
    </row>
    <row r="916" spans="1:3">
      <c r="A916" s="146" t="e">
        <f>$C$1&amp;".E30A.REM.FR.UIBUS.OS._INT.9.1_10_PERCT"</f>
        <v>#N/A</v>
      </c>
      <c r="B916" s="43">
        <f>ROUND(PAGE6!$C$83,5)</f>
        <v>0</v>
      </c>
      <c r="C916" s="43">
        <f>ROUND(PAGE6!$E$83,5)</f>
        <v>0</v>
      </c>
    </row>
    <row r="917" spans="1:3">
      <c r="A917" s="146" t="e">
        <f>$C$1&amp;".E30A.REM.VAR.UIBUS.OS._INT.9.1_10_PERCT"</f>
        <v>#N/A</v>
      </c>
      <c r="B917" s="43">
        <f>ROUND(PAGE6!$G$83,5)</f>
        <v>0</v>
      </c>
      <c r="C917" s="43">
        <f>ROUND(PAGE6!$I$83,5)</f>
        <v>0</v>
      </c>
    </row>
    <row r="918" spans="1:3">
      <c r="A918" s="146" t="e">
        <f>$C$1&amp;".E30A.REM.ADJ.UIBUS.OS._INT.9.1_10_PERCT"</f>
        <v>#N/A</v>
      </c>
      <c r="B918" s="43">
        <f>ROUND(PAGE6!$K$83,5)</f>
        <v>0</v>
      </c>
      <c r="C918" s="43">
        <f>ROUND(PAGE6!$M$83,5)</f>
        <v>0</v>
      </c>
    </row>
    <row r="919" spans="1:3">
      <c r="A919" s="146" t="e">
        <f>$C$1&amp;".E30A.REM.UIBUS.OS._INT.9.1_10_PERCT.TTL"</f>
        <v>#N/A</v>
      </c>
      <c r="B919" s="43">
        <f>ROUND(PAGE6!$P$83,5)</f>
        <v>0</v>
      </c>
      <c r="C919" s="43">
        <f>ROUND(PAGE6!$R$83,5)</f>
        <v>0</v>
      </c>
    </row>
    <row r="920" spans="1:3">
      <c r="A920" s="146" t="e">
        <f>$C$1&amp;".E30A.REM.FR.UIBUS.OS._INT.10.1_11_PERCT"</f>
        <v>#N/A</v>
      </c>
      <c r="B920" s="43">
        <f>ROUND(PAGE6!$C$84,5)</f>
        <v>0</v>
      </c>
      <c r="C920" s="43">
        <f>ROUND(PAGE6!$E$84,5)</f>
        <v>0</v>
      </c>
    </row>
    <row r="921" spans="1:3">
      <c r="A921" s="146" t="e">
        <f>$C$1&amp;".E30A.REM.VAR.UIBUS.OS._INT.10.1_11_PERCT"</f>
        <v>#N/A</v>
      </c>
      <c r="B921" s="43">
        <f>ROUND(PAGE6!$G$84,5)</f>
        <v>0</v>
      </c>
      <c r="C921" s="43">
        <f>ROUND(PAGE6!$I$84,5)</f>
        <v>0</v>
      </c>
    </row>
    <row r="922" spans="1:3">
      <c r="A922" s="146" t="e">
        <f>$C$1&amp;".E30A.REM.ADJ.UIBUS.OS._INT.10.1_11_PERCT"</f>
        <v>#N/A</v>
      </c>
      <c r="B922" s="43">
        <f>ROUND(PAGE6!$K$84,5)</f>
        <v>0</v>
      </c>
      <c r="C922" s="43">
        <f>ROUND(PAGE6!$M$84,5)</f>
        <v>0</v>
      </c>
    </row>
    <row r="923" spans="1:3">
      <c r="A923" s="146" t="e">
        <f>$C$1&amp;".E30A.REM.UIBUS.OS._INT.10.1_11_PERCT.TTL"</f>
        <v>#N/A</v>
      </c>
      <c r="B923" s="43">
        <f>ROUND(PAGE6!$P$84,5)</f>
        <v>0</v>
      </c>
      <c r="C923" s="43">
        <f>ROUND(PAGE6!$R$84,5)</f>
        <v>0</v>
      </c>
    </row>
    <row r="924" spans="1:3">
      <c r="A924" s="146" t="e">
        <f>$C$1&amp;".E30A.REM.FR.UIBUS.OS._INT.11.1_12_PERCT"</f>
        <v>#N/A</v>
      </c>
      <c r="B924" s="43">
        <f>ROUND(PAGE6!$C$85,5)</f>
        <v>0</v>
      </c>
      <c r="C924" s="43">
        <f>ROUND(PAGE6!$E$85,5)</f>
        <v>0</v>
      </c>
    </row>
    <row r="925" spans="1:3">
      <c r="A925" s="146" t="e">
        <f>$C$1&amp;".E30A.REM.VAR.UIBUS.OS._INT.11.1_12_PERCT"</f>
        <v>#N/A</v>
      </c>
      <c r="B925" s="43">
        <f>ROUND(PAGE6!$G$85,5)</f>
        <v>0</v>
      </c>
      <c r="C925" s="43">
        <f>ROUND(PAGE6!$I$85,5)</f>
        <v>0</v>
      </c>
    </row>
    <row r="926" spans="1:3">
      <c r="A926" s="146" t="e">
        <f>$C$1&amp;".E30A.REM.ADJ.UIBUS.OS._INT.11.1_12_PERCT"</f>
        <v>#N/A</v>
      </c>
      <c r="B926" s="43">
        <f>ROUND(PAGE6!$K$85,5)</f>
        <v>0</v>
      </c>
      <c r="C926" s="43">
        <f>ROUND(PAGE6!$M$85,5)</f>
        <v>0</v>
      </c>
    </row>
    <row r="927" spans="1:3">
      <c r="A927" s="146" t="e">
        <f>$C$1&amp;".E30A.REM.UIBUS.OS._INT.11.1_12_PERCT.TTL"</f>
        <v>#N/A</v>
      </c>
      <c r="B927" s="43">
        <f>ROUND(PAGE6!$P$85,5)</f>
        <v>0</v>
      </c>
      <c r="C927" s="43">
        <f>ROUND(PAGE6!$R$85,5)</f>
        <v>0</v>
      </c>
    </row>
    <row r="928" spans="1:3">
      <c r="A928" s="146" t="e">
        <f>$C$1&amp;".E30A.REM.FR.UIBUS.OS._INT.12.1_13_PERCT"</f>
        <v>#N/A</v>
      </c>
      <c r="B928" s="43">
        <f>ROUND(PAGE6!$C$86,5)</f>
        <v>0</v>
      </c>
      <c r="C928" s="43">
        <f>ROUND(PAGE6!$E$86,5)</f>
        <v>0</v>
      </c>
    </row>
    <row r="929" spans="1:3">
      <c r="A929" s="146" t="e">
        <f>$C$1&amp;".E30A.REM.VAR.UIBUS.OS._INT.12.1_13_PERCT"</f>
        <v>#N/A</v>
      </c>
      <c r="B929" s="43">
        <f>ROUND(PAGE6!$G$86,5)</f>
        <v>0</v>
      </c>
      <c r="C929" s="43">
        <f>ROUND(PAGE6!$I$86,5)</f>
        <v>0</v>
      </c>
    </row>
    <row r="930" spans="1:3">
      <c r="A930" s="146" t="e">
        <f>$C$1&amp;".E30A.REM.ADJ.UIBUS.OS._INT.12.1_13_PERCT"</f>
        <v>#N/A</v>
      </c>
      <c r="B930" s="43">
        <f>ROUND(PAGE6!$K$86,5)</f>
        <v>0</v>
      </c>
      <c r="C930" s="43">
        <f>ROUND(PAGE6!$M$86,5)</f>
        <v>0</v>
      </c>
    </row>
    <row r="931" spans="1:3">
      <c r="A931" s="146" t="e">
        <f>$C$1&amp;".E30A.REM.UIBUS.OS._INT.12.1_13_PERCT.TTL"</f>
        <v>#N/A</v>
      </c>
      <c r="B931" s="43">
        <f>ROUND(PAGE6!$P$86,5)</f>
        <v>0</v>
      </c>
      <c r="C931" s="43">
        <f>ROUND(PAGE6!$R$86,5)</f>
        <v>0</v>
      </c>
    </row>
    <row r="932" spans="1:3">
      <c r="A932" s="146" t="e">
        <f>$C$1&amp;".E30A.REM.FR.UIBUS.OS._INT.13.1_14_PERCT"</f>
        <v>#N/A</v>
      </c>
      <c r="B932" s="43">
        <f>ROUND(PAGE6!$C$87,5)</f>
        <v>0</v>
      </c>
      <c r="C932" s="43">
        <f>ROUND(PAGE6!$E$87,5)</f>
        <v>0</v>
      </c>
    </row>
    <row r="933" spans="1:3">
      <c r="A933" s="146" t="e">
        <f>$C$1&amp;".E30A.REM.VAR.UIBUS.OS._INT.13.1_14_PERCT"</f>
        <v>#N/A</v>
      </c>
      <c r="B933" s="43">
        <f>ROUND(PAGE6!$G$87,5)</f>
        <v>0</v>
      </c>
      <c r="C933" s="43">
        <f>ROUND(PAGE6!$I$87,5)</f>
        <v>0</v>
      </c>
    </row>
    <row r="934" spans="1:3">
      <c r="A934" s="146" t="e">
        <f>$C$1&amp;".E30A.REM.ADJ.UIBUS.OS._INT.13.1_14_PERCT"</f>
        <v>#N/A</v>
      </c>
      <c r="B934" s="43">
        <f>ROUND(PAGE6!$K$87,5)</f>
        <v>0</v>
      </c>
      <c r="C934" s="43">
        <f>ROUND(PAGE6!$M$87,5)</f>
        <v>0</v>
      </c>
    </row>
    <row r="935" spans="1:3">
      <c r="A935" s="146" t="e">
        <f>$C$1&amp;".E30A.REM.UIBUS.OS._INT.13.1_14_PERCT.TTL"</f>
        <v>#N/A</v>
      </c>
      <c r="B935" s="43">
        <f>ROUND(PAGE6!$P$87,5)</f>
        <v>0</v>
      </c>
      <c r="C935" s="43">
        <f>ROUND(PAGE6!$R$87,5)</f>
        <v>0</v>
      </c>
    </row>
    <row r="936" spans="1:3">
      <c r="A936" s="146" t="e">
        <f>$C$1&amp;".E30A.REM.FR.UIBUS.OS._INT.14.1_15_PERCT"</f>
        <v>#N/A</v>
      </c>
      <c r="B936" s="43">
        <f>ROUND(PAGE6!$C$88,5)</f>
        <v>0</v>
      </c>
      <c r="C936" s="43">
        <f>ROUND(PAGE6!$E$88,5)</f>
        <v>0</v>
      </c>
    </row>
    <row r="937" spans="1:3">
      <c r="A937" s="146" t="e">
        <f>$C$1&amp;".E30A.REM.VAR.UIBUS.OS._INT.14.1_15_PERCT"</f>
        <v>#N/A</v>
      </c>
      <c r="B937" s="43">
        <f>ROUND(PAGE6!$G$88,5)</f>
        <v>0</v>
      </c>
      <c r="C937" s="43">
        <f>ROUND(PAGE6!$I$88,5)</f>
        <v>0</v>
      </c>
    </row>
    <row r="938" spans="1:3">
      <c r="A938" s="146" t="e">
        <f>$C$1&amp;".E30A.REM.ADJ.UIBUS.OS._INT.14.1_15_PERCT"</f>
        <v>#N/A</v>
      </c>
      <c r="B938" s="43">
        <f>ROUND(PAGE6!$K$88,5)</f>
        <v>0</v>
      </c>
      <c r="C938" s="43">
        <f>ROUND(PAGE6!$M$88,5)</f>
        <v>0</v>
      </c>
    </row>
    <row r="939" spans="1:3">
      <c r="A939" s="146" t="e">
        <f>$C$1&amp;".E30A.REM.UIBUS.OS._INT.14.1_15_PERCT.TTL"</f>
        <v>#N/A</v>
      </c>
      <c r="B939" s="43">
        <f>ROUND(PAGE6!$P$88,5)</f>
        <v>0</v>
      </c>
      <c r="C939" s="43">
        <f>ROUND(PAGE6!$R$88,5)</f>
        <v>0</v>
      </c>
    </row>
    <row r="940" spans="1:3">
      <c r="A940" s="146" t="e">
        <f>$C$1&amp;".E30A.REM.FR.UIBUS.OS._INT.OVR_15.1_PERCT"</f>
        <v>#N/A</v>
      </c>
      <c r="B940" s="43">
        <f>ROUND(PAGE6!$C$89,5)</f>
        <v>0</v>
      </c>
      <c r="C940" s="43">
        <f>ROUND(PAGE6!$E$89,5)</f>
        <v>0</v>
      </c>
    </row>
    <row r="941" spans="1:3">
      <c r="A941" s="146" t="e">
        <f>$C$1&amp;".E30A.REM.VAR.UIBUS.OS._INT.OVR_15.1_PERCT"</f>
        <v>#N/A</v>
      </c>
      <c r="B941" s="43">
        <f>ROUND(PAGE6!$G$89,5)</f>
        <v>0</v>
      </c>
      <c r="C941" s="43">
        <f>ROUND(PAGE6!$I$89,5)</f>
        <v>0</v>
      </c>
    </row>
    <row r="942" spans="1:3">
      <c r="A942" s="146" t="e">
        <f>$C$1&amp;".E30A.REM.ADJ.UIBUS.OS._INT.OVR_15.1_PERCT"</f>
        <v>#N/A</v>
      </c>
      <c r="B942" s="43">
        <f>ROUND(PAGE6!$K$89,5)</f>
        <v>0</v>
      </c>
      <c r="C942" s="43">
        <f>ROUND(PAGE6!$M$89,5)</f>
        <v>0</v>
      </c>
    </row>
    <row r="943" spans="1:3">
      <c r="A943" s="146" t="e">
        <f>$C$1&amp;".E30A.REM.UIBUS.OS._INT.OVR_15.1_PERCT.TTL"</f>
        <v>#N/A</v>
      </c>
      <c r="B943" s="43">
        <f>ROUND(PAGE6!$P$89,5)</f>
        <v>0</v>
      </c>
      <c r="C943" s="43">
        <f>ROUND(PAGE6!$R$89,5)</f>
        <v>0</v>
      </c>
    </row>
    <row r="944" spans="1:3">
      <c r="A944" s="146" t="e">
        <f>$C$1&amp;".E30A.REM.FR.CONSM.OS._INT.0_3_PERCT"</f>
        <v>#N/A</v>
      </c>
      <c r="B944" s="43">
        <f>ROUND(PAGE6!$C$94,5)</f>
        <v>0</v>
      </c>
      <c r="C944" s="43">
        <f>ROUND(PAGE6!$E$94,5)</f>
        <v>0</v>
      </c>
    </row>
    <row r="945" spans="1:3">
      <c r="A945" s="146" t="e">
        <f>$C$1&amp;".E30A.REM.VAR.CONSM.OS._INT.0_3_PERCT"</f>
        <v>#N/A</v>
      </c>
      <c r="B945" s="43">
        <f>ROUND(PAGE6!$G$94,5)</f>
        <v>0</v>
      </c>
      <c r="C945" s="43">
        <f>ROUND(PAGE6!$I$94,5)</f>
        <v>0</v>
      </c>
    </row>
    <row r="946" spans="1:3">
      <c r="A946" s="146" t="e">
        <f>$C$1&amp;".E30A.REM.ADJ.CONSM.OS._INT.0_3_PERCT"</f>
        <v>#N/A</v>
      </c>
      <c r="B946" s="43">
        <f>ROUND(PAGE6!$K$94,5)</f>
        <v>0</v>
      </c>
      <c r="C946" s="43">
        <f>ROUND(PAGE6!$M$94,5)</f>
        <v>0</v>
      </c>
    </row>
    <row r="947" spans="1:3">
      <c r="A947" s="146" t="e">
        <f>$C$1&amp;".E30A.REM.CONSM.OS._INT.0_3_PERCT.TTL"</f>
        <v>#N/A</v>
      </c>
      <c r="B947" s="43">
        <f>ROUND(PAGE6!$P$94,5)</f>
        <v>0</v>
      </c>
      <c r="C947" s="43">
        <f>ROUND(PAGE6!$R$94,5)</f>
        <v>0</v>
      </c>
    </row>
    <row r="948" spans="1:3">
      <c r="A948" s="146" t="e">
        <f>$C$1&amp;".E30A.REM.FR.CONSM.OS._INT.3.1_4_PERCT"</f>
        <v>#N/A</v>
      </c>
      <c r="B948" s="43">
        <f>ROUND(PAGE6!$C$95,5)</f>
        <v>0</v>
      </c>
      <c r="C948" s="43">
        <f>ROUND(PAGE6!$E$95,5)</f>
        <v>0</v>
      </c>
    </row>
    <row r="949" spans="1:3">
      <c r="A949" s="146" t="e">
        <f>$C$1&amp;".E30A.REM.VAR.CONSM.OS._INT.3.1_4_PERCT"</f>
        <v>#N/A</v>
      </c>
      <c r="B949" s="43">
        <f>ROUND(PAGE6!$G$95,5)</f>
        <v>0</v>
      </c>
      <c r="C949" s="43">
        <f>ROUND(PAGE6!$I$95,5)</f>
        <v>0</v>
      </c>
    </row>
    <row r="950" spans="1:3">
      <c r="A950" s="146" t="e">
        <f>$C$1&amp;".E30A.REM.ADJ.CONSM.OS._INT.3.1_4_PERCT"</f>
        <v>#N/A</v>
      </c>
      <c r="B950" s="43">
        <f>ROUND(PAGE6!$K$95,5)</f>
        <v>0</v>
      </c>
      <c r="C950" s="43">
        <f>ROUND(PAGE6!$M$95,5)</f>
        <v>0</v>
      </c>
    </row>
    <row r="951" spans="1:3">
      <c r="A951" s="146" t="e">
        <f>$C$1&amp;".E30A.REM.CONSM.OS._INT.3.1_4_PERCT.TTL"</f>
        <v>#N/A</v>
      </c>
      <c r="B951" s="43">
        <f>ROUND(PAGE6!$P$95,5)</f>
        <v>0</v>
      </c>
      <c r="C951" s="43">
        <f>ROUND(PAGE6!$R$95,5)</f>
        <v>0</v>
      </c>
    </row>
    <row r="952" spans="1:3">
      <c r="A952" s="146" t="e">
        <f>$C$1&amp;".E30A.REM.FR.CONSM.OS._INT.4.1_5_PERCT"</f>
        <v>#N/A</v>
      </c>
      <c r="B952" s="43">
        <f>ROUND(PAGE6!$C$96,5)</f>
        <v>0</v>
      </c>
      <c r="C952" s="43">
        <f>ROUND(PAGE6!$E$96,5)</f>
        <v>0</v>
      </c>
    </row>
    <row r="953" spans="1:3">
      <c r="A953" s="146" t="e">
        <f>$C$1&amp;".E30A.REM.VAR.CONSM.OS._INT.4.1_5_PERCT"</f>
        <v>#N/A</v>
      </c>
      <c r="B953" s="43">
        <f>ROUND(PAGE6!$G$96,5)</f>
        <v>0</v>
      </c>
      <c r="C953" s="43">
        <f>ROUND(PAGE6!$I$96,5)</f>
        <v>0</v>
      </c>
    </row>
    <row r="954" spans="1:3">
      <c r="A954" s="146" t="e">
        <f>$C$1&amp;".E30A.REM.ADJ.CONSM.OS._INT.4.1_5_PERCT"</f>
        <v>#N/A</v>
      </c>
      <c r="B954" s="43">
        <f>ROUND(PAGE6!$K$96,5)</f>
        <v>0</v>
      </c>
      <c r="C954" s="43">
        <f>ROUND(PAGE6!$M$96,5)</f>
        <v>0</v>
      </c>
    </row>
    <row r="955" spans="1:3">
      <c r="A955" s="146" t="e">
        <f>$C$1&amp;".E30A.REM.CONSM.OS._INT.4.1_5_PERCT.TTL"</f>
        <v>#N/A</v>
      </c>
      <c r="B955" s="43">
        <f>ROUND(PAGE6!$P$96,5)</f>
        <v>0</v>
      </c>
      <c r="C955" s="43">
        <f>ROUND(PAGE6!$R$96,5)</f>
        <v>0</v>
      </c>
    </row>
    <row r="956" spans="1:3">
      <c r="A956" s="146" t="e">
        <f>$C$1&amp;".E30A.REM.FR.CONSM.OS._INT.5.1_6_PERCT"</f>
        <v>#N/A</v>
      </c>
      <c r="B956" s="43">
        <f>ROUND(PAGE6!$C$97,5)</f>
        <v>0</v>
      </c>
      <c r="C956" s="43">
        <f>ROUND(PAGE6!$E$97,5)</f>
        <v>0</v>
      </c>
    </row>
    <row r="957" spans="1:3">
      <c r="A957" s="146" t="e">
        <f>$C$1&amp;".E30A.REM.VAR.CONSM.OS._INT.5.1_6_PERCT"</f>
        <v>#N/A</v>
      </c>
      <c r="B957" s="43">
        <f>ROUND(PAGE6!$G$97,5)</f>
        <v>0</v>
      </c>
      <c r="C957" s="43">
        <f>ROUND(PAGE6!$I$97,5)</f>
        <v>0</v>
      </c>
    </row>
    <row r="958" spans="1:3">
      <c r="A958" s="146" t="e">
        <f>$C$1&amp;".E30A.REM.ADJ.CONSM.OS._INT.5.1_6_PERCT"</f>
        <v>#N/A</v>
      </c>
      <c r="B958" s="43">
        <f>ROUND(PAGE6!$K$97,5)</f>
        <v>0</v>
      </c>
      <c r="C958" s="43">
        <f>ROUND(PAGE6!$M$97,5)</f>
        <v>0</v>
      </c>
    </row>
    <row r="959" spans="1:3">
      <c r="A959" s="146" t="e">
        <f>$C$1&amp;".E30A.REM.CONSM.OS._INT.5.1_6_PERCT.TTL"</f>
        <v>#N/A</v>
      </c>
      <c r="B959" s="43">
        <f>ROUND(PAGE6!$P$97,5)</f>
        <v>0</v>
      </c>
      <c r="C959" s="43">
        <f>ROUND(PAGE6!$R$97,5)</f>
        <v>0</v>
      </c>
    </row>
    <row r="960" spans="1:3">
      <c r="A960" s="146" t="e">
        <f>$C$1&amp;".E30A.REM.FR.CONSM.OS._INT.6.1_7_PERCT"</f>
        <v>#N/A</v>
      </c>
      <c r="B960" s="43">
        <f>ROUND(PAGE6!$C$98,5)</f>
        <v>0</v>
      </c>
      <c r="C960" s="43">
        <f>ROUND(PAGE6!$E$98,5)</f>
        <v>0</v>
      </c>
    </row>
    <row r="961" spans="1:3">
      <c r="A961" s="146" t="e">
        <f>$C$1&amp;".E30A.REM.VAR.CONSM.OS._INT.6.1_7_PERCT"</f>
        <v>#N/A</v>
      </c>
      <c r="B961" s="43">
        <f>ROUND(PAGE6!$G$98,5)</f>
        <v>0</v>
      </c>
      <c r="C961" s="43">
        <f>ROUND(PAGE6!$I$98,5)</f>
        <v>0</v>
      </c>
    </row>
    <row r="962" spans="1:3">
      <c r="A962" s="146" t="e">
        <f>$C$1&amp;".E30A.REM.ADJ.CONSM.OS._INT.6.1_7_PERCT"</f>
        <v>#N/A</v>
      </c>
      <c r="B962" s="43">
        <f>ROUND(PAGE6!$K$98,5)</f>
        <v>0</v>
      </c>
      <c r="C962" s="43">
        <f>ROUND(PAGE6!$M$98,5)</f>
        <v>0</v>
      </c>
    </row>
    <row r="963" spans="1:3">
      <c r="A963" s="146" t="e">
        <f>$C$1&amp;".E30A.REM.CONSM.OS._INT.6.1_7_PERCT.TTL"</f>
        <v>#N/A</v>
      </c>
      <c r="B963" s="43">
        <f>ROUND(PAGE6!$P$98,5)</f>
        <v>0</v>
      </c>
      <c r="C963" s="43">
        <f>ROUND(PAGE6!$R$98,5)</f>
        <v>0</v>
      </c>
    </row>
    <row r="964" spans="1:3">
      <c r="A964" s="146" t="e">
        <f>$C$1&amp;".E30A.REM.FR.CONSM.OS._INT.7.1_8_PERCT"</f>
        <v>#N/A</v>
      </c>
      <c r="B964" s="43">
        <f>ROUND(PAGE6!$C$99,5)</f>
        <v>0</v>
      </c>
      <c r="C964" s="43">
        <f>ROUND(PAGE6!$E$99,5)</f>
        <v>0</v>
      </c>
    </row>
    <row r="965" spans="1:3">
      <c r="A965" s="146" t="e">
        <f>$C$1&amp;".E30A.REM.VAR.CONSM.OS._INT.7.1_8_PERCT"</f>
        <v>#N/A</v>
      </c>
      <c r="B965" s="43">
        <f>ROUND(PAGE6!$G$99,5)</f>
        <v>0</v>
      </c>
      <c r="C965" s="43">
        <f>ROUND(PAGE6!$I$99,5)</f>
        <v>0</v>
      </c>
    </row>
    <row r="966" spans="1:3">
      <c r="A966" s="146" t="e">
        <f>$C$1&amp;".E30A.REM.ADJ.CONSM.OS._INT.7.1_8_PERCT"</f>
        <v>#N/A</v>
      </c>
      <c r="B966" s="43">
        <f>ROUND(PAGE6!$K$99,5)</f>
        <v>0</v>
      </c>
      <c r="C966" s="43">
        <f>ROUND(PAGE6!$M$99,5)</f>
        <v>0</v>
      </c>
    </row>
    <row r="967" spans="1:3">
      <c r="A967" s="146" t="e">
        <f>$C$1&amp;".E30A.REM.CONSM.OS._INT.7.1_8_PERCT.TTL"</f>
        <v>#N/A</v>
      </c>
      <c r="B967" s="43">
        <f>ROUND(PAGE6!$P$99,5)</f>
        <v>0</v>
      </c>
      <c r="C967" s="43">
        <f>ROUND(PAGE6!$R$99,5)</f>
        <v>0</v>
      </c>
    </row>
    <row r="968" spans="1:3">
      <c r="A968" s="146" t="e">
        <f>$C$1&amp;".E30A.REM.FR.CONSM.OS._INT.8.1_9_PERCT"</f>
        <v>#N/A</v>
      </c>
      <c r="B968" s="43">
        <f>ROUND(PAGE6!$C$100,5)</f>
        <v>0</v>
      </c>
      <c r="C968" s="43">
        <f>ROUND(PAGE6!$E$100,5)</f>
        <v>0</v>
      </c>
    </row>
    <row r="969" spans="1:3">
      <c r="A969" s="146" t="e">
        <f>$C$1&amp;".E30A.REM.VAR.CONSM.OS._INT.8.1_9_PERCT"</f>
        <v>#N/A</v>
      </c>
      <c r="B969" s="43">
        <f>ROUND(PAGE6!$G$100,5)</f>
        <v>0</v>
      </c>
      <c r="C969" s="43">
        <f>ROUND(PAGE6!$I$100,5)</f>
        <v>0</v>
      </c>
    </row>
    <row r="970" spans="1:3">
      <c r="A970" s="146" t="e">
        <f>$C$1&amp;".E30A.REM.ADJ.CONSM.OS._INT.8.1_9_PERCT"</f>
        <v>#N/A</v>
      </c>
      <c r="B970" s="43">
        <f>ROUND(PAGE6!$K$100,5)</f>
        <v>0</v>
      </c>
      <c r="C970" s="43">
        <f>ROUND(PAGE6!$M$100,5)</f>
        <v>0</v>
      </c>
    </row>
    <row r="971" spans="1:3">
      <c r="A971" s="146" t="e">
        <f>$C$1&amp;".E30A.REM.CONSM.OS._INT.8.1_9_PERCT.TTL"</f>
        <v>#N/A</v>
      </c>
      <c r="B971" s="43">
        <f>ROUND(PAGE6!$P$100,5)</f>
        <v>0</v>
      </c>
      <c r="C971" s="43">
        <f>ROUND(PAGE6!$R$100,5)</f>
        <v>0</v>
      </c>
    </row>
    <row r="972" spans="1:3">
      <c r="A972" s="146" t="e">
        <f>$C$1&amp;".E30A.REM.FR.CONSM.OS._INT.9.1_10_PERCT"</f>
        <v>#N/A</v>
      </c>
      <c r="B972" s="43">
        <f>ROUND(PAGE6!$C$101,5)</f>
        <v>0</v>
      </c>
      <c r="C972" s="43">
        <f>ROUND(PAGE6!$E$101,5)</f>
        <v>0</v>
      </c>
    </row>
    <row r="973" spans="1:3">
      <c r="A973" s="146" t="e">
        <f>$C$1&amp;".E30A.REM.VAR.CONSM.OS._INT.9.1_10_PERCT"</f>
        <v>#N/A</v>
      </c>
      <c r="B973" s="43">
        <f>ROUND(PAGE6!$G$101,5)</f>
        <v>0</v>
      </c>
      <c r="C973" s="43">
        <f>ROUND(PAGE6!$I$101,5)</f>
        <v>0</v>
      </c>
    </row>
    <row r="974" spans="1:3">
      <c r="A974" s="146" t="e">
        <f>$C$1&amp;".E30A.REM.ADJ.CONSM.OS._INT.9.1_10_PERCT"</f>
        <v>#N/A</v>
      </c>
      <c r="B974" s="43">
        <f>ROUND(PAGE6!$K$101,5)</f>
        <v>0</v>
      </c>
      <c r="C974" s="43">
        <f>ROUND(PAGE6!$M$101,5)</f>
        <v>0</v>
      </c>
    </row>
    <row r="975" spans="1:3">
      <c r="A975" s="146" t="e">
        <f>$C$1&amp;".E30A.REM.CONSM.OS._INT.9.1_10_PERCT.TTL"</f>
        <v>#N/A</v>
      </c>
      <c r="B975" s="43">
        <f>ROUND(PAGE6!$P$101,5)</f>
        <v>0</v>
      </c>
      <c r="C975" s="43">
        <f>ROUND(PAGE6!$R$101,5)</f>
        <v>0</v>
      </c>
    </row>
    <row r="976" spans="1:3">
      <c r="A976" s="146" t="e">
        <f>$C$1&amp;".E30A.REM.FR.CONSM.OS._INT.10.1_11_PERCT"</f>
        <v>#N/A</v>
      </c>
      <c r="B976" s="43">
        <f>ROUND(PAGE6!$C$102,5)</f>
        <v>0</v>
      </c>
      <c r="C976" s="43">
        <f>ROUND(PAGE6!$E$102,5)</f>
        <v>0</v>
      </c>
    </row>
    <row r="977" spans="1:3">
      <c r="A977" s="146" t="e">
        <f>$C$1&amp;".E30A.REM.VAR.CONSM.OS._INT.10.1_11_PERCT"</f>
        <v>#N/A</v>
      </c>
      <c r="B977" s="43">
        <f>ROUND(PAGE6!$G$102,5)</f>
        <v>0</v>
      </c>
      <c r="C977" s="43">
        <f>ROUND(PAGE6!$I$102,5)</f>
        <v>0</v>
      </c>
    </row>
    <row r="978" spans="1:3">
      <c r="A978" s="146" t="e">
        <f>$C$1&amp;".E30A.REM.ADJ.CONSM.OS._INT.10.1_11_PERCT"</f>
        <v>#N/A</v>
      </c>
      <c r="B978" s="43">
        <f>ROUND(PAGE6!$K$102,5)</f>
        <v>0</v>
      </c>
      <c r="C978" s="43">
        <f>ROUND(PAGE6!$M$102,5)</f>
        <v>0</v>
      </c>
    </row>
    <row r="979" spans="1:3">
      <c r="A979" s="146" t="e">
        <f>$C$1&amp;".E30A.REM.CONSM.OS._INT.10.1_11_PERCT.TTL"</f>
        <v>#N/A</v>
      </c>
      <c r="B979" s="43">
        <f>ROUND(PAGE6!$P$102,5)</f>
        <v>0</v>
      </c>
      <c r="C979" s="43">
        <f>ROUND(PAGE6!$R$102,5)</f>
        <v>0</v>
      </c>
    </row>
    <row r="980" spans="1:3">
      <c r="A980" s="146" t="e">
        <f>$C$1&amp;".E30A.REM.FR.CONSM.OS._INT.11.1_12_PERCT"</f>
        <v>#N/A</v>
      </c>
      <c r="B980" s="43">
        <f>ROUND(PAGE6!$C$103,5)</f>
        <v>0</v>
      </c>
      <c r="C980" s="43">
        <f>ROUND(PAGE6!$E$103,5)</f>
        <v>0</v>
      </c>
    </row>
    <row r="981" spans="1:3">
      <c r="A981" s="146" t="e">
        <f>$C$1&amp;".E30A.REM.VAR.CONSM.OS._INT.11.1_12_PERCT"</f>
        <v>#N/A</v>
      </c>
      <c r="B981" s="43">
        <f>ROUND(PAGE6!$G$103,5)</f>
        <v>0</v>
      </c>
      <c r="C981" s="43">
        <f>ROUND(PAGE6!$I$103,5)</f>
        <v>0</v>
      </c>
    </row>
    <row r="982" spans="1:3">
      <c r="A982" s="146" t="e">
        <f>$C$1&amp;".E30A.REM.ADJ.CONSM.OS._INT.11.1_12_PERCT"</f>
        <v>#N/A</v>
      </c>
      <c r="B982" s="43">
        <f>ROUND(PAGE6!$K$103,5)</f>
        <v>0</v>
      </c>
      <c r="C982" s="43">
        <f>ROUND(PAGE6!$M$103,5)</f>
        <v>0</v>
      </c>
    </row>
    <row r="983" spans="1:3">
      <c r="A983" s="146" t="e">
        <f>$C$1&amp;".E30A.REM.CONSM.OS._INT.11.1_12_PERCT.TTL"</f>
        <v>#N/A</v>
      </c>
      <c r="B983" s="43">
        <f>ROUND(PAGE6!$P$103,5)</f>
        <v>0</v>
      </c>
      <c r="C983" s="43">
        <f>ROUND(PAGE6!$R$103,5)</f>
        <v>0</v>
      </c>
    </row>
    <row r="984" spans="1:3">
      <c r="A984" s="146" t="e">
        <f>$C$1&amp;".E30A.REM.FR.CONSM.OS._INT.12.1_13_PERCT"</f>
        <v>#N/A</v>
      </c>
      <c r="B984" s="43">
        <f>ROUND(PAGE6!$C$104,5)</f>
        <v>0</v>
      </c>
      <c r="C984" s="43">
        <f>ROUND(PAGE6!$E$104,5)</f>
        <v>0</v>
      </c>
    </row>
    <row r="985" spans="1:3">
      <c r="A985" s="146" t="e">
        <f>$C$1&amp;".E30A.REM.VAR.CONSM.OS._INT.12.1_13_PERCT"</f>
        <v>#N/A</v>
      </c>
      <c r="B985" s="43">
        <f>ROUND(PAGE6!$G$104,5)</f>
        <v>0</v>
      </c>
      <c r="C985" s="43">
        <f>ROUND(PAGE6!$I$104,5)</f>
        <v>0</v>
      </c>
    </row>
    <row r="986" spans="1:3">
      <c r="A986" s="146" t="e">
        <f>$C$1&amp;".E30A.REM.ADJ.CONSM.OS._INT.12.1_13_PERCT"</f>
        <v>#N/A</v>
      </c>
      <c r="B986" s="43">
        <f>ROUND(PAGE6!$K$104,5)</f>
        <v>0</v>
      </c>
      <c r="C986" s="43">
        <f>ROUND(PAGE6!$M$104,5)</f>
        <v>0</v>
      </c>
    </row>
    <row r="987" spans="1:3">
      <c r="A987" s="146" t="e">
        <f>$C$1&amp;".E30A.REM.CONSM.OS._INT.12.1_13_PERCT.TTL"</f>
        <v>#N/A</v>
      </c>
      <c r="B987" s="43">
        <f>ROUND(PAGE6!$P$104,5)</f>
        <v>0</v>
      </c>
      <c r="C987" s="43">
        <f>ROUND(PAGE6!$R$104,5)</f>
        <v>0</v>
      </c>
    </row>
    <row r="988" spans="1:3">
      <c r="A988" s="146" t="e">
        <f>$C$1&amp;".E30A.REM.FR.CONSM.OS._INT.13.1_14_PERCT"</f>
        <v>#N/A</v>
      </c>
      <c r="B988" s="43">
        <f>ROUND(PAGE6!$C$105,5)</f>
        <v>0</v>
      </c>
      <c r="C988" s="43">
        <f>ROUND(PAGE6!$E$105,5)</f>
        <v>0</v>
      </c>
    </row>
    <row r="989" spans="1:3">
      <c r="A989" s="146" t="e">
        <f>$C$1&amp;".E30A.REM.VAR.CONSM.OS._INT.13.1_14_PERCT"</f>
        <v>#N/A</v>
      </c>
      <c r="B989" s="43">
        <f>ROUND(PAGE6!$G$105,5)</f>
        <v>0</v>
      </c>
      <c r="C989" s="43">
        <f>ROUND(PAGE6!$I$105,5)</f>
        <v>0</v>
      </c>
    </row>
    <row r="990" spans="1:3">
      <c r="A990" s="146" t="e">
        <f>$C$1&amp;".E30A.REM.ADJ.CONSM.OS._INT.13.1_14_PERCT"</f>
        <v>#N/A</v>
      </c>
      <c r="B990" s="43">
        <f>ROUND(PAGE6!$K$105,5)</f>
        <v>0</v>
      </c>
      <c r="C990" s="43">
        <f>ROUND(PAGE6!$M$105,5)</f>
        <v>0</v>
      </c>
    </row>
    <row r="991" spans="1:3">
      <c r="A991" s="146" t="e">
        <f>$C$1&amp;".E30A.REM.CONSM.OS._INT.13.1_14_PERCT.TTL"</f>
        <v>#N/A</v>
      </c>
      <c r="B991" s="43">
        <f>ROUND(PAGE6!$P$105,5)</f>
        <v>0</v>
      </c>
      <c r="C991" s="43">
        <f>ROUND(PAGE6!$R$105,5)</f>
        <v>0</v>
      </c>
    </row>
    <row r="992" spans="1:3">
      <c r="A992" s="146" t="e">
        <f>$C$1&amp;".E30A.REM.FR.CONSM.OS._INT.14.1_15_PERCT"</f>
        <v>#N/A</v>
      </c>
      <c r="B992" s="43">
        <f>ROUND(PAGE6!$C$106,5)</f>
        <v>0</v>
      </c>
      <c r="C992" s="43">
        <f>ROUND(PAGE6!$E$106,5)</f>
        <v>0</v>
      </c>
    </row>
    <row r="993" spans="1:3">
      <c r="A993" s="146" t="e">
        <f>$C$1&amp;".E30A.REM.VAR.CONSM.OS._INT.14.1_15_PERCT"</f>
        <v>#N/A</v>
      </c>
      <c r="B993" s="43">
        <f>ROUND(PAGE6!$G$106,5)</f>
        <v>0</v>
      </c>
      <c r="C993" s="43">
        <f>ROUND(PAGE6!$I$106,5)</f>
        <v>0</v>
      </c>
    </row>
    <row r="994" spans="1:3">
      <c r="A994" s="146" t="e">
        <f>$C$1&amp;".E30A.REM.ADJ.CONSM.OS._INT.14.1_15_PERCT"</f>
        <v>#N/A</v>
      </c>
      <c r="B994" s="43">
        <f>ROUND(PAGE6!$K$106,5)</f>
        <v>0</v>
      </c>
      <c r="C994" s="43">
        <f>ROUND(PAGE6!$M$106,5)</f>
        <v>0</v>
      </c>
    </row>
    <row r="995" spans="1:3">
      <c r="A995" s="146" t="e">
        <f>$C$1&amp;".E30A.REM.CONSM.OS._INT.14.1_15_PERCT.TTL"</f>
        <v>#N/A</v>
      </c>
      <c r="B995" s="43">
        <f>ROUND(PAGE6!$P$106,5)</f>
        <v>0</v>
      </c>
      <c r="C995" s="43">
        <f>ROUND(PAGE6!$R$106,5)</f>
        <v>0</v>
      </c>
    </row>
    <row r="996" spans="1:3">
      <c r="A996" s="146" t="e">
        <f>$C$1&amp;".E30A.REM.FR.CONSM.OS._INT.OVR_15.1_PERCT"</f>
        <v>#N/A</v>
      </c>
      <c r="B996" s="43">
        <f>ROUND(PAGE6!$C$107,5)</f>
        <v>0</v>
      </c>
      <c r="C996" s="43">
        <f>ROUND(PAGE6!$E$107,5)</f>
        <v>0</v>
      </c>
    </row>
    <row r="997" spans="1:3">
      <c r="A997" s="146" t="e">
        <f>$C$1&amp;".E30A.REM.VAR.CONSM.OS._INT.OVR_15.1_PERCT"</f>
        <v>#N/A</v>
      </c>
      <c r="B997" s="43">
        <f>ROUND(PAGE6!$G$107,5)</f>
        <v>0</v>
      </c>
      <c r="C997" s="43">
        <f>ROUND(PAGE6!$I$107,5)</f>
        <v>0</v>
      </c>
    </row>
    <row r="998" spans="1:3">
      <c r="A998" s="146" t="e">
        <f>$C$1&amp;".E30A.REM.ADJ.CONSM.OS._INT.OVR_15.1_PERCT"</f>
        <v>#N/A</v>
      </c>
      <c r="B998" s="43">
        <f>ROUND(PAGE6!$K$107,5)</f>
        <v>0</v>
      </c>
      <c r="C998" s="43">
        <f>ROUND(PAGE6!$M$107,5)</f>
        <v>0</v>
      </c>
    </row>
    <row r="999" spans="1:3">
      <c r="A999" s="146" t="e">
        <f>$C$1&amp;".E30A.REM.CONSM.OS._INT.OVR_15.1_PERCT.TTL"</f>
        <v>#N/A</v>
      </c>
      <c r="B999" s="43">
        <f>ROUND(PAGE6!$P$107,5)</f>
        <v>0</v>
      </c>
      <c r="C999" s="43">
        <f>ROUND(PAGE6!$R$107,5)</f>
        <v>0</v>
      </c>
    </row>
    <row r="1000" spans="1:3">
      <c r="A1000" s="152" t="e">
        <f>$C$1&amp;".E30A.REM.FR.OS.TTL.."</f>
        <v>#N/A</v>
      </c>
      <c r="B1000" s="43">
        <f>ROUND(PAGE6!$C$111,5)</f>
        <v>0</v>
      </c>
      <c r="C1000" s="43">
        <f>ROUND(PAGE6!$E$111,5)</f>
        <v>0</v>
      </c>
    </row>
    <row r="1001" spans="1:3">
      <c r="A1001" s="152" t="e">
        <f>$C$1&amp;".E30A.REM.VAR.OS.TTL.."</f>
        <v>#N/A</v>
      </c>
      <c r="B1001" s="43">
        <f>ROUND(PAGE6!$G$111,5)</f>
        <v>0</v>
      </c>
      <c r="C1001" s="43">
        <f>ROUND(PAGE6!$I$111,5)</f>
        <v>0</v>
      </c>
    </row>
    <row r="1002" spans="1:3">
      <c r="A1002" s="152" t="e">
        <f>$C$1&amp;".E30A.REM.ADJ.OS.TTL.."</f>
        <v>#N/A</v>
      </c>
      <c r="B1002" s="43">
        <f>ROUND(PAGE6!$K$111,5)</f>
        <v>0</v>
      </c>
      <c r="C1002" s="43">
        <f>ROUND(PAGE6!$M$111,5)</f>
        <v>0</v>
      </c>
    </row>
    <row r="1003" spans="1:3">
      <c r="A1003" s="152" t="e">
        <f>$C$1&amp;".E30A.REM.OS.SEC_TYPE.AGG_TTL.."</f>
        <v>#N/A</v>
      </c>
      <c r="B1003" s="43">
        <f>ROUND(PAGE6!$P$111,5)</f>
        <v>0</v>
      </c>
      <c r="C1003" s="43">
        <f>ROUND(PAGE6!$R$111,5)</f>
        <v>0</v>
      </c>
    </row>
    <row r="1004" spans="1:3">
      <c r="A1004" s="153" t="s">
        <v>168</v>
      </c>
      <c r="B1004" s="43" t="s">
        <v>115</v>
      </c>
      <c r="C1004" s="43" t="s">
        <v>116</v>
      </c>
    </row>
    <row r="1005" spans="1:3">
      <c r="A1005" s="146" t="e">
        <f>$C$1&amp;".E30A.REM.FR..PER.5YRS.NEW"</f>
        <v>#N/A</v>
      </c>
      <c r="B1005" s="43">
        <f>ROUND(PAGE7!$C$14,5)</f>
        <v>0</v>
      </c>
      <c r="C1005" s="43">
        <f>ROUND(PAGE7!$E$14,5)</f>
        <v>0</v>
      </c>
    </row>
    <row r="1006" spans="1:3">
      <c r="A1006" s="146" t="e">
        <f>$C$1&amp;".E30A.REM.VAR..PER.5YRS.NEW"</f>
        <v>#N/A</v>
      </c>
      <c r="B1006" s="43">
        <f>ROUND(PAGE7!$G$14,5)</f>
        <v>0</v>
      </c>
      <c r="C1006" s="43">
        <f>ROUND(PAGE7!$I$14,5)</f>
        <v>0</v>
      </c>
    </row>
    <row r="1007" spans="1:3">
      <c r="A1007" s="146" t="e">
        <f>$C$1&amp;".E30A.REM.ADJ..PER.5YRS.NEW"</f>
        <v>#N/A</v>
      </c>
      <c r="B1007" s="43">
        <f>ROUND(PAGE7!$K$14,5)</f>
        <v>0</v>
      </c>
      <c r="C1007" s="43">
        <f>ROUND(PAGE7!$M$14,5)</f>
        <v>0</v>
      </c>
    </row>
    <row r="1008" spans="1:3">
      <c r="A1008" s="146" t="e">
        <f>$C$1&amp;".E30A.REM..PER.5YRS.NEW.TTL"</f>
        <v>#N/A</v>
      </c>
      <c r="B1008" s="43">
        <f>ROUND(PAGE7!$P$14,5)</f>
        <v>0</v>
      </c>
      <c r="C1008" s="43">
        <f>ROUND(PAGE7!$R$14,5)</f>
        <v>0</v>
      </c>
    </row>
    <row r="1009" spans="1:3">
      <c r="A1009" s="146" t="e">
        <f>$C$1&amp;".E30A.REM.FR.PER.5TO10YRS.NEW."</f>
        <v>#N/A</v>
      </c>
      <c r="B1009" s="43">
        <f>ROUND(PAGE7!$C$16,5)</f>
        <v>0</v>
      </c>
      <c r="C1009" s="43">
        <f>ROUND(PAGE7!$E$16,5)</f>
        <v>0</v>
      </c>
    </row>
    <row r="1010" spans="1:3">
      <c r="A1010" s="146" t="e">
        <f>$C$1&amp;".E30A.REM.VAR.PER.5TO10YRS.NEW."</f>
        <v>#N/A</v>
      </c>
      <c r="B1010" s="43">
        <f>ROUND(PAGE7!$G$16,5)</f>
        <v>0</v>
      </c>
      <c r="C1010" s="43">
        <f>ROUND(PAGE7!$I$16,5)</f>
        <v>0</v>
      </c>
    </row>
    <row r="1011" spans="1:3">
      <c r="A1011" s="146" t="e">
        <f>$C$1&amp;".E30A.REM.ADJ.PER.5TO10YRS.NEW."</f>
        <v>#N/A</v>
      </c>
      <c r="B1011" s="43">
        <f>ROUND(PAGE7!$K$16,5)</f>
        <v>0</v>
      </c>
      <c r="C1011" s="43">
        <f>ROUND(PAGE7!$M$16,5)</f>
        <v>0</v>
      </c>
    </row>
    <row r="1012" spans="1:3">
      <c r="A1012" s="146" t="e">
        <f>$C$1&amp;".E30A.REM.PER.5TO10YRS.NEW.TTL."</f>
        <v>#N/A</v>
      </c>
      <c r="B1012" s="43">
        <f>ROUND(PAGE7!$P$16,5)</f>
        <v>0</v>
      </c>
      <c r="C1012" s="43">
        <f>ROUND(PAGE7!$R$16,5)</f>
        <v>0</v>
      </c>
    </row>
    <row r="1013" spans="1:3">
      <c r="A1013" s="146" t="e">
        <f>$C$1&amp;".E30A.REM.FR.PER.10TO15YRS.NEW."</f>
        <v>#N/A</v>
      </c>
      <c r="B1013" s="43">
        <f>ROUND(PAGE7!$C$18,5)</f>
        <v>0</v>
      </c>
      <c r="C1013" s="43">
        <f>ROUND(PAGE7!$E$18,5)</f>
        <v>0</v>
      </c>
    </row>
    <row r="1014" spans="1:3">
      <c r="A1014" s="146" t="e">
        <f>$C$1&amp;".E30A.REM.VAR.PER.10TO15YRS.NEW."</f>
        <v>#N/A</v>
      </c>
      <c r="B1014" s="43">
        <f>ROUND(PAGE7!$G$18,5)</f>
        <v>0</v>
      </c>
      <c r="C1014" s="43">
        <f>ROUND(PAGE7!$I$18,5)</f>
        <v>0</v>
      </c>
    </row>
    <row r="1015" spans="1:3">
      <c r="A1015" s="146" t="e">
        <f>$C$1&amp;".E30A.REM.ADJ.PER.10TO15YRS.NEW."</f>
        <v>#N/A</v>
      </c>
      <c r="B1015" s="43">
        <f>ROUND(PAGE7!$K$18,5)</f>
        <v>0</v>
      </c>
      <c r="C1015" s="43">
        <f>ROUND(PAGE7!$M$18,5)</f>
        <v>0</v>
      </c>
    </row>
    <row r="1016" spans="1:3">
      <c r="A1016" s="146" t="e">
        <f>$C$1&amp;".E30A.REM.PER.10TO15YRS.NEW.TTL."</f>
        <v>#N/A</v>
      </c>
      <c r="B1016" s="43">
        <f>ROUND(PAGE7!$P$18,5)</f>
        <v>0</v>
      </c>
      <c r="C1016" s="43">
        <f>ROUND(PAGE7!$R$18,5)</f>
        <v>0</v>
      </c>
    </row>
    <row r="1017" spans="1:3">
      <c r="A1017" s="146" t="e">
        <f>$C$1&amp;".E30A.REM.FR.PER.15TO20YRS.NEW."</f>
        <v>#N/A</v>
      </c>
      <c r="B1017" s="43">
        <f>ROUND(PAGE7!$C$20,5)</f>
        <v>0</v>
      </c>
      <c r="C1017" s="43">
        <f>ROUND(PAGE7!$E$20,5)</f>
        <v>0</v>
      </c>
    </row>
    <row r="1018" spans="1:3">
      <c r="A1018" s="146" t="e">
        <f>$C$1&amp;".E30A.REM.VAR.PER.15TO20YRS.NEW."</f>
        <v>#N/A</v>
      </c>
      <c r="B1018" s="43">
        <f>ROUND(PAGE7!$G$20,5)</f>
        <v>0</v>
      </c>
      <c r="C1018" s="43">
        <f>ROUND(PAGE7!$I$20,5)</f>
        <v>0</v>
      </c>
    </row>
    <row r="1019" spans="1:3">
      <c r="A1019" s="146" t="e">
        <f>$C$1&amp;".E30A.REM.ADJ.PER.15TO20YRS.NEW."</f>
        <v>#N/A</v>
      </c>
      <c r="B1019" s="43">
        <f>ROUND(PAGE7!$K$20,5)</f>
        <v>0</v>
      </c>
      <c r="C1019" s="43">
        <f>ROUND(PAGE7!$M$20,5)</f>
        <v>0</v>
      </c>
    </row>
    <row r="1020" spans="1:3">
      <c r="A1020" s="146" t="e">
        <f>$C$1&amp;".E30A.REM.PER.15TO20YRS.NEW.TTL."</f>
        <v>#N/A</v>
      </c>
      <c r="B1020" s="43">
        <f>ROUND(PAGE7!$P$20,5)</f>
        <v>0</v>
      </c>
      <c r="C1020" s="43">
        <f>ROUND(PAGE7!$R$20,5)</f>
        <v>0</v>
      </c>
    </row>
    <row r="1021" spans="1:3">
      <c r="A1021" s="146" t="e">
        <f>$C$1&amp;".E30A.REM.FR.PER.20TO25YRS.NEW."</f>
        <v>#N/A</v>
      </c>
      <c r="B1021" s="43">
        <f>ROUND(PAGE7!$C$22,5)</f>
        <v>0</v>
      </c>
      <c r="C1021" s="43">
        <f>ROUND(PAGE7!$E$22,5)</f>
        <v>0</v>
      </c>
    </row>
    <row r="1022" spans="1:3">
      <c r="A1022" s="146" t="e">
        <f>$C$1&amp;".E30A.REM.VAR.PER.20TO25YRS.NEW."</f>
        <v>#N/A</v>
      </c>
      <c r="B1022" s="43">
        <f>ROUND(PAGE7!$G$22,5)</f>
        <v>0</v>
      </c>
      <c r="C1022" s="43">
        <f>ROUND(PAGE7!$I$22,5)</f>
        <v>0</v>
      </c>
    </row>
    <row r="1023" spans="1:3">
      <c r="A1023" s="146" t="e">
        <f>$C$1&amp;".E30A.REM.ADJ.PER.20TO25YRS.NEW."</f>
        <v>#N/A</v>
      </c>
      <c r="B1023" s="43">
        <f>ROUND(PAGE7!$K$22,5)</f>
        <v>0</v>
      </c>
      <c r="C1023" s="43">
        <f>ROUND(PAGE7!$M$22,5)</f>
        <v>0</v>
      </c>
    </row>
    <row r="1024" spans="1:3">
      <c r="A1024" s="146" t="e">
        <f>$C$1&amp;".E30A.REM.PER.20TO25YRS.NEW.TTL."</f>
        <v>#N/A</v>
      </c>
      <c r="B1024" s="43">
        <f>ROUND(PAGE7!$P$22,5)</f>
        <v>0</v>
      </c>
      <c r="C1024" s="43">
        <f>ROUND(PAGE7!$R$22,5)</f>
        <v>0</v>
      </c>
    </row>
    <row r="1025" spans="1:3">
      <c r="A1025" s="146" t="e">
        <f>$C$1&amp;".E30A.REM.FR.PER.25TO30YRS.NEW."</f>
        <v>#N/A</v>
      </c>
      <c r="B1025" s="43">
        <f>ROUND(PAGE7!$C$24,5)</f>
        <v>0</v>
      </c>
      <c r="C1025" s="43">
        <f>ROUND(PAGE7!$E$24,5)</f>
        <v>0</v>
      </c>
    </row>
    <row r="1026" spans="1:3">
      <c r="A1026" s="146" t="e">
        <f>$C$1&amp;".E30A.REM.VAR.PER.25TO30YRS.NEW."</f>
        <v>#N/A</v>
      </c>
      <c r="B1026" s="43">
        <f>ROUND(PAGE7!$G$24,5)</f>
        <v>0</v>
      </c>
      <c r="C1026" s="43">
        <f>ROUND(PAGE7!$I$24,5)</f>
        <v>0</v>
      </c>
    </row>
    <row r="1027" spans="1:3">
      <c r="A1027" s="146" t="e">
        <f>$C$1&amp;".E30A.REM.ADJ.PER.25TO30YRS.NEW."</f>
        <v>#N/A</v>
      </c>
      <c r="B1027" s="43">
        <f>ROUND(PAGE7!$K$24,5)</f>
        <v>0</v>
      </c>
      <c r="C1027" s="43">
        <f>ROUND(PAGE7!$M$24,5)</f>
        <v>0</v>
      </c>
    </row>
    <row r="1028" spans="1:3">
      <c r="A1028" s="146" t="e">
        <f>$C$1&amp;".E30A.REM.PER.25TO30YRS.NEW.TTL."</f>
        <v>#N/A</v>
      </c>
      <c r="B1028" s="43">
        <f>ROUND(PAGE7!$P$24,5)</f>
        <v>0</v>
      </c>
      <c r="C1028" s="43">
        <f>ROUND(PAGE7!$R$24,5)</f>
        <v>0</v>
      </c>
    </row>
    <row r="1029" spans="1:3">
      <c r="A1029" s="146" t="e">
        <f>$C$1&amp;".E30A.REM.FR.PER.OVR30YRS.NEW."</f>
        <v>#N/A</v>
      </c>
      <c r="B1029" s="43">
        <f>ROUND(PAGE7!$C$26,5)</f>
        <v>0</v>
      </c>
      <c r="C1029" s="43">
        <f>ROUND(PAGE7!$E$26,5)</f>
        <v>0</v>
      </c>
    </row>
    <row r="1030" spans="1:3">
      <c r="A1030" s="146" t="e">
        <f>$C$1&amp;".E30A.REM.VAR.PER.OVR30YRS.NEW."</f>
        <v>#N/A</v>
      </c>
      <c r="B1030" s="43">
        <f>ROUND(PAGE7!$G$26,5)</f>
        <v>0</v>
      </c>
      <c r="C1030" s="43">
        <f>ROUND(PAGE7!$I$26,5)</f>
        <v>0</v>
      </c>
    </row>
    <row r="1031" spans="1:3">
      <c r="A1031" s="146" t="e">
        <f>$C$1&amp;".E30A.REM.ADJ.PER.OVR30YRS.NEW."</f>
        <v>#N/A</v>
      </c>
      <c r="B1031" s="43">
        <f>ROUND(PAGE7!$K$26,5)</f>
        <v>0</v>
      </c>
      <c r="C1031" s="43">
        <f>ROUND(PAGE7!$M$26,5)</f>
        <v>0</v>
      </c>
    </row>
    <row r="1032" spans="1:3">
      <c r="A1032" s="146" t="e">
        <f>$C$1&amp;".E30A.REM.PER.OVR30YRS.NEW.TTL."</f>
        <v>#N/A</v>
      </c>
      <c r="B1032" s="43">
        <f>ROUND(PAGE7!$P$26,5)</f>
        <v>0</v>
      </c>
      <c r="C1032" s="43">
        <f>ROUND(PAGE7!$R$26,5)</f>
        <v>0</v>
      </c>
    </row>
    <row r="1033" spans="1:3">
      <c r="A1033" s="146" t="e">
        <f>$C$1&amp;".E30A.REM.FR.PER.MAX_PER.NEW."</f>
        <v>#N/A</v>
      </c>
      <c r="B1033" s="43">
        <f>ROUND(PAGE7!$C$28,5)</f>
        <v>0</v>
      </c>
      <c r="C1033" s="43">
        <f>ROUND(PAGE7!$E$28,5)</f>
        <v>0</v>
      </c>
    </row>
    <row r="1034" spans="1:3">
      <c r="A1034" s="146" t="e">
        <f>$C$1&amp;".E30A.REM.VAR.PER.MAX_PER.NEW."</f>
        <v>#N/A</v>
      </c>
      <c r="B1034" s="43">
        <f>ROUND(PAGE7!$G$28,5)</f>
        <v>0</v>
      </c>
      <c r="C1034" s="43">
        <f>ROUND(PAGE7!$I$28,5)</f>
        <v>0</v>
      </c>
    </row>
    <row r="1035" spans="1:3">
      <c r="A1035" s="146" t="e">
        <f>$C$1&amp;".E30A.REM.ADJ.PER.MAX_PER.NEW."</f>
        <v>#N/A</v>
      </c>
      <c r="B1035" s="43">
        <f>ROUND(PAGE7!$K$28,5)</f>
        <v>0</v>
      </c>
      <c r="C1035" s="43">
        <f>ROUND(PAGE7!$M$28,5)</f>
        <v>0</v>
      </c>
    </row>
    <row r="1036" spans="1:3">
      <c r="A1036" s="146" t="e">
        <f>$C$1&amp;".E30A.REM.PER.MAX_PER.NEW.TTL."</f>
        <v>#N/A</v>
      </c>
      <c r="B1036" s="43">
        <f>ROUND(PAGE7!$P$28,5)</f>
        <v>0</v>
      </c>
      <c r="C1036" s="43">
        <f>ROUND(PAGE7!$R$28,5)</f>
        <v>0</v>
      </c>
    </row>
    <row r="1037" spans="1:3">
      <c r="A1037" s="146" t="e">
        <f>$C$1&amp;".E30A.REM.FR.PER.UNSPEC.NEW."</f>
        <v>#N/A</v>
      </c>
      <c r="B1037" s="43">
        <f>ROUND(PAGE7!$C$30,5)</f>
        <v>0</v>
      </c>
      <c r="C1037" s="43">
        <f>ROUND(PAGE7!$E$30,5)</f>
        <v>0</v>
      </c>
    </row>
    <row r="1038" spans="1:3">
      <c r="A1038" s="146" t="e">
        <f>$C$1&amp;".E30A.REM.VAR.PER.UNSPEC.NEW."</f>
        <v>#N/A</v>
      </c>
      <c r="B1038" s="43">
        <f>ROUND(PAGE7!$G$30,5)</f>
        <v>0</v>
      </c>
      <c r="C1038" s="43">
        <f>ROUND(PAGE7!$I$30,5)</f>
        <v>0</v>
      </c>
    </row>
    <row r="1039" spans="1:3">
      <c r="A1039" s="146" t="e">
        <f>$C$1&amp;".E30A.REM.ADJ.PER.UNSPEC.NEW."</f>
        <v>#N/A</v>
      </c>
      <c r="B1039" s="43">
        <f>ROUND(PAGE7!$K$30,5)</f>
        <v>0</v>
      </c>
      <c r="C1039" s="43">
        <f>ROUND(PAGE7!$M$30,5)</f>
        <v>0</v>
      </c>
    </row>
    <row r="1040" spans="1:3">
      <c r="A1040" s="146" t="e">
        <f>$C$1&amp;".E30A.REM.PER.UNSPEC.NEW.TTL."</f>
        <v>#N/A</v>
      </c>
      <c r="B1040" s="43">
        <f>ROUND(PAGE7!$P$30,5)</f>
        <v>0</v>
      </c>
      <c r="C1040" s="43">
        <f>ROUND(PAGE7!$R$30,5)</f>
        <v>0</v>
      </c>
    </row>
    <row r="1041" spans="1:3">
      <c r="A1041" s="152" t="e">
        <f>$C$1&amp;".E30A.REM.FR.NEW.TTL.."</f>
        <v>#N/A</v>
      </c>
      <c r="B1041" s="43">
        <f>ROUND(PAGE7!C32,5)</f>
        <v>0</v>
      </c>
      <c r="C1041" s="43">
        <f>ROUND(PAGE7!$E$32,5)</f>
        <v>0</v>
      </c>
    </row>
    <row r="1042" spans="1:3">
      <c r="A1042" s="152" t="e">
        <f>$C$1&amp;".E30A.REM.VAR.NEW.TTL.."</f>
        <v>#N/A</v>
      </c>
      <c r="B1042" s="43">
        <f>ROUND(PAGE7!G32,5)</f>
        <v>0</v>
      </c>
      <c r="C1042" s="43">
        <f>ROUND(PAGE7!$I$32,5)</f>
        <v>0</v>
      </c>
    </row>
    <row r="1043" spans="1:3">
      <c r="A1043" s="152" t="e">
        <f>$C$1&amp;".E30A.REM.ADJ.NEW.TTL.."</f>
        <v>#N/A</v>
      </c>
      <c r="B1043" s="43">
        <f>ROUND(PAGE7!K32,5)</f>
        <v>0</v>
      </c>
      <c r="C1043" s="43">
        <f>ROUND(PAGE7!$M$32,5)</f>
        <v>0</v>
      </c>
    </row>
    <row r="1044" spans="1:3">
      <c r="A1044" s="153" t="s">
        <v>169</v>
      </c>
      <c r="B1044" s="43" t="s">
        <v>116</v>
      </c>
      <c r="C1044" s="43"/>
    </row>
    <row r="1045" spans="1:3">
      <c r="A1045" s="146" t="e">
        <f>$C$1&amp;".E30A.REM.NEW.AGG_TTL..."</f>
        <v>#N/A</v>
      </c>
      <c r="B1045" s="43">
        <f>ROUND(PAGE7!$R$32,5)</f>
        <v>0</v>
      </c>
      <c r="C1045" s="43"/>
    </row>
    <row r="1046" spans="1:3">
      <c r="A1046" s="153" t="s">
        <v>170</v>
      </c>
      <c r="B1046" s="43" t="s">
        <v>163</v>
      </c>
      <c r="C1046" s="43"/>
    </row>
    <row r="1047" spans="1:3">
      <c r="A1047" s="146" t="e">
        <f>$C$1&amp;".E30A.REM.FR.PBSEC.APPR.L."</f>
        <v>#N/A</v>
      </c>
      <c r="B1047" s="77">
        <f>ROUND(PAGE8!$C$19,5)</f>
        <v>0</v>
      </c>
      <c r="C1047" s="43"/>
    </row>
    <row r="1048" spans="1:3">
      <c r="A1048" s="146" t="e">
        <f>$C$1&amp;".E30A.REM.FR.PBSEC.APPR.H."</f>
        <v>#N/A</v>
      </c>
      <c r="B1048" s="77">
        <f>ROUND(PAGE8!$E$19,5)</f>
        <v>0</v>
      </c>
      <c r="C1048" s="43"/>
    </row>
    <row r="1049" spans="1:3">
      <c r="A1049" s="146" t="e">
        <f>$C$1&amp;".E30A.REM.FR.PBSEC.APPR.L.M"</f>
        <v>#N/A</v>
      </c>
      <c r="B1049" s="77">
        <f>ROUND(PAGE8!$G$19,5)</f>
        <v>0</v>
      </c>
      <c r="C1049" s="43"/>
    </row>
    <row r="1050" spans="1:3">
      <c r="A1050" s="146" t="e">
        <f>$C$1&amp;".E30A.REM.FR.PBSEC.APPR.H.M"</f>
        <v>#N/A</v>
      </c>
      <c r="B1050" s="77">
        <f>ROUND(PAGE8!$I$19,5)</f>
        <v>0</v>
      </c>
      <c r="C1050" s="43"/>
    </row>
    <row r="1051" spans="1:3">
      <c r="A1051" s="146" t="e">
        <f>$C$1&amp;".E30A.REM.FR.PBSEC.DISB.L."</f>
        <v>#N/A</v>
      </c>
      <c r="B1051" s="77">
        <f>ROUND(PAGE8!$K$19,5)</f>
        <v>0</v>
      </c>
      <c r="C1051" s="43"/>
    </row>
    <row r="1052" spans="1:3">
      <c r="A1052" s="146" t="e">
        <f>$C$1&amp;".E30A.REM.FR.PBSEC.DISB.H."</f>
        <v>#N/A</v>
      </c>
      <c r="B1052" s="77">
        <f>ROUND(PAGE8!$M$19,5)</f>
        <v>0</v>
      </c>
      <c r="C1052" s="43"/>
    </row>
    <row r="1053" spans="1:3">
      <c r="A1053" s="146" t="e">
        <f>$C$1&amp;".E30A.REM.FR.PBSEC.DISB.L.M"</f>
        <v>#N/A</v>
      </c>
      <c r="B1053" s="77">
        <f>ROUND(PAGE8!$O$19,5)</f>
        <v>0</v>
      </c>
      <c r="C1053" s="43"/>
    </row>
    <row r="1054" spans="1:3">
      <c r="A1054" s="146" t="e">
        <f>$C$1&amp;".E30A.REM.FR.PBSEC.DISB.H.M"</f>
        <v>#N/A</v>
      </c>
      <c r="B1054" s="77">
        <f>ROUND(PAGE8!$Q$19,5)</f>
        <v>0</v>
      </c>
      <c r="C1054" s="43"/>
    </row>
    <row r="1055" spans="1:3">
      <c r="A1055" s="146" t="e">
        <f>$C$1&amp;".E30A.REM.FR.PBSEC.OS.L."</f>
        <v>#N/A</v>
      </c>
      <c r="B1055" s="77">
        <f>ROUND(PAGE8!$S$19,5)</f>
        <v>0</v>
      </c>
      <c r="C1055" s="43"/>
    </row>
    <row r="1056" spans="1:3">
      <c r="A1056" s="146" t="e">
        <f>$C$1&amp;".E30A.REM.FR.PBSEC.OS.H."</f>
        <v>#N/A</v>
      </c>
      <c r="B1056" s="77">
        <f>ROUND(PAGE8!$U$19,5)</f>
        <v>0</v>
      </c>
      <c r="C1056" s="43"/>
    </row>
    <row r="1057" spans="1:3">
      <c r="A1057" s="146" t="e">
        <f>$C$1&amp;".E30A.REM.FR.PBSEC.OS.L.M"</f>
        <v>#N/A</v>
      </c>
      <c r="B1057" s="77">
        <f>ROUND(PAGE8!$W$19,5)</f>
        <v>0</v>
      </c>
      <c r="C1057" s="43"/>
    </row>
    <row r="1058" spans="1:3">
      <c r="A1058" s="146" t="e">
        <f>$C$1&amp;".E30A.REM.FR.PBSEC.OS.H.M"</f>
        <v>#N/A</v>
      </c>
      <c r="B1058" s="77">
        <f>ROUND(PAGE8!$Y$19,5)</f>
        <v>0</v>
      </c>
      <c r="C1058" s="43"/>
    </row>
    <row r="1059" spans="1:3">
      <c r="A1059" s="146" t="e">
        <f>$C$1&amp;".E30A.REM.FR.PVFIN.APPR.L."</f>
        <v>#N/A</v>
      </c>
      <c r="B1059" s="77">
        <f>ROUND(PAGE8!$C$22,5)</f>
        <v>0</v>
      </c>
      <c r="C1059" s="43"/>
    </row>
    <row r="1060" spans="1:3">
      <c r="A1060" s="146" t="e">
        <f>$C$1&amp;".E30A.REM.FR.PVFIN.APPR.H."</f>
        <v>#N/A</v>
      </c>
      <c r="B1060" s="77">
        <f>ROUND(PAGE8!$E$22,5)</f>
        <v>0</v>
      </c>
      <c r="C1060" s="43"/>
    </row>
    <row r="1061" spans="1:3">
      <c r="A1061" s="146" t="e">
        <f>$C$1&amp;".E30A.REM.FR.PVFIN.APPR.L.M"</f>
        <v>#N/A</v>
      </c>
      <c r="B1061" s="77">
        <f>ROUND(PAGE8!$G$22,5)</f>
        <v>0</v>
      </c>
      <c r="C1061" s="43"/>
    </row>
    <row r="1062" spans="1:3">
      <c r="A1062" s="146" t="e">
        <f>$C$1&amp;".E30A.REM.FR.PVFIN.APPR.H.M"</f>
        <v>#N/A</v>
      </c>
      <c r="B1062" s="77">
        <f>ROUND(PAGE8!$I$22,5)</f>
        <v>0</v>
      </c>
      <c r="C1062" s="43"/>
    </row>
    <row r="1063" spans="1:3">
      <c r="A1063" s="146" t="e">
        <f>$C$1&amp;".E30A.REM.FR.PVFIN.DISB.L."</f>
        <v>#N/A</v>
      </c>
      <c r="B1063" s="77">
        <f>ROUND(PAGE8!$K$22,5)</f>
        <v>0</v>
      </c>
      <c r="C1063" s="43"/>
    </row>
    <row r="1064" spans="1:3">
      <c r="A1064" s="146" t="e">
        <f>$C$1&amp;".E30A.REM.FR.PVFIN.DISB.H."</f>
        <v>#N/A</v>
      </c>
      <c r="B1064" s="77">
        <f>ROUND(PAGE8!$M$22,5)</f>
        <v>0</v>
      </c>
      <c r="C1064" s="43"/>
    </row>
    <row r="1065" spans="1:3">
      <c r="A1065" s="146" t="e">
        <f>$C$1&amp;".E30A.REM.FR.PVFIN.DISB.L.M"</f>
        <v>#N/A</v>
      </c>
      <c r="B1065" s="77">
        <f>ROUND(PAGE8!$O$22,5)</f>
        <v>0</v>
      </c>
      <c r="C1065" s="43"/>
    </row>
    <row r="1066" spans="1:3">
      <c r="A1066" s="146" t="e">
        <f>$C$1&amp;".E30A.REM.FR.PVFIN.DISB.H.M"</f>
        <v>#N/A</v>
      </c>
      <c r="B1066" s="77">
        <f>ROUND(PAGE8!$Q$22,5)</f>
        <v>0</v>
      </c>
      <c r="C1066" s="43"/>
    </row>
    <row r="1067" spans="1:3">
      <c r="A1067" s="146" t="e">
        <f>$C$1&amp;".E30A.REM.FR.PVFIN.OS.L."</f>
        <v>#N/A</v>
      </c>
      <c r="B1067" s="77">
        <f>ROUND(PAGE8!$S$22,5)</f>
        <v>0</v>
      </c>
      <c r="C1067" s="43"/>
    </row>
    <row r="1068" spans="1:3">
      <c r="A1068" s="146" t="e">
        <f>$C$1&amp;".E30A.REM.FR.PVFIN.OS.H."</f>
        <v>#N/A</v>
      </c>
      <c r="B1068" s="77">
        <f>ROUND(PAGE8!$U$22,5)</f>
        <v>0</v>
      </c>
      <c r="C1068" s="43"/>
    </row>
    <row r="1069" spans="1:3">
      <c r="A1069" s="146" t="e">
        <f>$C$1&amp;".E30A.REM.FR.PVFIN.OS.L.M"</f>
        <v>#N/A</v>
      </c>
      <c r="B1069" s="77">
        <f>ROUND(PAGE8!$W$22,5)</f>
        <v>0</v>
      </c>
      <c r="C1069" s="43"/>
    </row>
    <row r="1070" spans="1:3">
      <c r="A1070" s="146" t="e">
        <f>$C$1&amp;".E30A.REM.FR.PVFIN.OS.H.M"</f>
        <v>#N/A</v>
      </c>
      <c r="B1070" s="77">
        <f>ROUND(PAGE8!$Y$22,5)</f>
        <v>0</v>
      </c>
      <c r="C1070" s="43"/>
    </row>
    <row r="1071" spans="1:3">
      <c r="A1071" s="146" t="e">
        <f>$C$1&amp;".E30A.REM.FR.IBUS.APPR.L."</f>
        <v>#N/A</v>
      </c>
      <c r="B1071" s="77">
        <f>ROUND(PAGE8!$C$25,5)</f>
        <v>0</v>
      </c>
      <c r="C1071" s="43"/>
    </row>
    <row r="1072" spans="1:3">
      <c r="A1072" s="146" t="e">
        <f>$C$1&amp;".E30A.REM.FR.IBUS.APPR.H."</f>
        <v>#N/A</v>
      </c>
      <c r="B1072" s="77">
        <f>ROUND(PAGE8!$E$25,5)</f>
        <v>0</v>
      </c>
      <c r="C1072" s="43"/>
    </row>
    <row r="1073" spans="1:3">
      <c r="A1073" s="146" t="e">
        <f>$C$1&amp;".E30A.REM.FR.IBUS.APPR.L.M"</f>
        <v>#N/A</v>
      </c>
      <c r="B1073" s="77">
        <f>ROUND(PAGE8!$G$25,5)</f>
        <v>0</v>
      </c>
      <c r="C1073" s="43"/>
    </row>
    <row r="1074" spans="1:3">
      <c r="A1074" s="146" t="e">
        <f>$C$1&amp;".E30A.REM.FR.IBUS.APPR.H.M"</f>
        <v>#N/A</v>
      </c>
      <c r="B1074" s="77">
        <f>ROUND(PAGE8!$I$25,5)</f>
        <v>0</v>
      </c>
      <c r="C1074" s="43"/>
    </row>
    <row r="1075" spans="1:3">
      <c r="A1075" s="146" t="e">
        <f>$C$1&amp;".E30A.REM.FR.IBUS.DISB.L."</f>
        <v>#N/A</v>
      </c>
      <c r="B1075" s="77">
        <f>ROUND(PAGE8!$K$25,5)</f>
        <v>0</v>
      </c>
      <c r="C1075" s="43"/>
    </row>
    <row r="1076" spans="1:3">
      <c r="A1076" s="146" t="e">
        <f>$C$1&amp;".E30A.REM.FR.IBUS.DISB.H."</f>
        <v>#N/A</v>
      </c>
      <c r="B1076" s="77">
        <f>ROUND(PAGE8!$M$25,5)</f>
        <v>0</v>
      </c>
      <c r="C1076" s="43"/>
    </row>
    <row r="1077" spans="1:3">
      <c r="A1077" s="146" t="e">
        <f>$C$1&amp;".E30A.REM.FR.IBUS.DISB.L.M"</f>
        <v>#N/A</v>
      </c>
      <c r="B1077" s="77">
        <f>ROUND(PAGE8!$O$25,5)</f>
        <v>0</v>
      </c>
      <c r="C1077" s="43"/>
    </row>
    <row r="1078" spans="1:3">
      <c r="A1078" s="146" t="e">
        <f>$C$1&amp;".E30A.REM.FR.IBUS.DISB.H.M"</f>
        <v>#N/A</v>
      </c>
      <c r="B1078" s="77">
        <f>ROUND(PAGE8!$Q$25,5)</f>
        <v>0</v>
      </c>
      <c r="C1078" s="43"/>
    </row>
    <row r="1079" spans="1:3">
      <c r="A1079" s="146" t="e">
        <f>$C$1&amp;".E30A.REM.FR.IBUS.OS.L."</f>
        <v>#N/A</v>
      </c>
      <c r="B1079" s="77">
        <f>ROUND(PAGE8!$S$25,5)</f>
        <v>0</v>
      </c>
      <c r="C1079" s="43"/>
    </row>
    <row r="1080" spans="1:3">
      <c r="A1080" s="146" t="e">
        <f>$C$1&amp;".E30A.REM.FR.IBUS.OS.H."</f>
        <v>#N/A</v>
      </c>
      <c r="B1080" s="77">
        <f>ROUND(PAGE8!$U$25,5)</f>
        <v>0</v>
      </c>
      <c r="C1080" s="43"/>
    </row>
    <row r="1081" spans="1:3">
      <c r="A1081" s="146" t="e">
        <f>$C$1&amp;".E30A.REM.FR.IBUS.OS.L.M"</f>
        <v>#N/A</v>
      </c>
      <c r="B1081" s="77">
        <f>ROUND(PAGE8!$W$25,5)</f>
        <v>0</v>
      </c>
      <c r="C1081" s="43"/>
    </row>
    <row r="1082" spans="1:3">
      <c r="A1082" s="146" t="e">
        <f>$C$1&amp;".E30A.REM.FR.IBUS.OS.H.M"</f>
        <v>#N/A</v>
      </c>
      <c r="B1082" s="77">
        <f>ROUND(PAGE8!$Y$25,5)</f>
        <v>0</v>
      </c>
      <c r="C1082" s="43"/>
    </row>
    <row r="1083" spans="1:3">
      <c r="A1083" s="146" t="e">
        <f>$C$1&amp;".E30A.REM.FR.UIBUS.APPR.L."</f>
        <v>#N/A</v>
      </c>
      <c r="B1083" s="77">
        <f>ROUND(PAGE8!$C$28,5)</f>
        <v>0</v>
      </c>
      <c r="C1083" s="43"/>
    </row>
    <row r="1084" spans="1:3">
      <c r="A1084" s="146" t="e">
        <f>$C$1&amp;".E30A.REM.FR.UIBUS.APPR.H."</f>
        <v>#N/A</v>
      </c>
      <c r="B1084" s="77">
        <f>ROUND(PAGE8!$E$28,5)</f>
        <v>0</v>
      </c>
      <c r="C1084" s="43"/>
    </row>
    <row r="1085" spans="1:3">
      <c r="A1085" s="146" t="e">
        <f>$C$1&amp;".E30A.REM.FR.UIBUS.APPR.L.M"</f>
        <v>#N/A</v>
      </c>
      <c r="B1085" s="77">
        <f>ROUND(PAGE8!$G$28,5)</f>
        <v>0</v>
      </c>
      <c r="C1085" s="43"/>
    </row>
    <row r="1086" spans="1:3">
      <c r="A1086" s="146" t="e">
        <f>$C$1&amp;".E30A.REM.FR.UIBUS.APPR.H.M"</f>
        <v>#N/A</v>
      </c>
      <c r="B1086" s="77">
        <f>ROUND(PAGE8!$I$28,5)</f>
        <v>0</v>
      </c>
      <c r="C1086" s="43"/>
    </row>
    <row r="1087" spans="1:3">
      <c r="A1087" s="146" t="e">
        <f>$C$1&amp;".E30A.REM.FR.UIBUS.DISB.L."</f>
        <v>#N/A</v>
      </c>
      <c r="B1087" s="77">
        <f>ROUND(PAGE8!$K$28,5)</f>
        <v>0</v>
      </c>
      <c r="C1087" s="43"/>
    </row>
    <row r="1088" spans="1:3">
      <c r="A1088" s="146" t="e">
        <f>$C$1&amp;".E30A.REM.FR.UIBUS.DISB.H."</f>
        <v>#N/A</v>
      </c>
      <c r="B1088" s="77">
        <f>ROUND(PAGE8!$M$28,5)</f>
        <v>0</v>
      </c>
      <c r="C1088" s="43"/>
    </row>
    <row r="1089" spans="1:3">
      <c r="A1089" s="146" t="e">
        <f>$C$1&amp;".E30A.REM.FR.UIBUS.DISB.L.M"</f>
        <v>#N/A</v>
      </c>
      <c r="B1089" s="77">
        <f>ROUND(PAGE8!$O$28,5)</f>
        <v>0</v>
      </c>
      <c r="C1089" s="43"/>
    </row>
    <row r="1090" spans="1:3">
      <c r="A1090" s="146" t="e">
        <f>$C$1&amp;".E30A.REM.FR.UIBUS.DISB.H.M"</f>
        <v>#N/A</v>
      </c>
      <c r="B1090" s="77">
        <f>ROUND(PAGE8!$Q$28,5)</f>
        <v>0</v>
      </c>
      <c r="C1090" s="43"/>
    </row>
    <row r="1091" spans="1:3">
      <c r="A1091" s="146" t="e">
        <f>$C$1&amp;".E30A.REM.FR.UIBUS.OS.L."</f>
        <v>#N/A</v>
      </c>
      <c r="B1091" s="77">
        <f>ROUND(PAGE8!$S$28,5)</f>
        <v>0</v>
      </c>
      <c r="C1091" s="43"/>
    </row>
    <row r="1092" spans="1:3">
      <c r="A1092" s="146" t="e">
        <f>$C$1&amp;".E30A.REM.FR.UIBUS.OS.H."</f>
        <v>#N/A</v>
      </c>
      <c r="B1092" s="77">
        <f>ROUND(PAGE8!$U$28,5)</f>
        <v>0</v>
      </c>
      <c r="C1092" s="43"/>
    </row>
    <row r="1093" spans="1:3">
      <c r="A1093" s="146" t="e">
        <f>$C$1&amp;".E30A.REM.FR.UIBUS.OS.L.M"</f>
        <v>#N/A</v>
      </c>
      <c r="B1093" s="77">
        <f>ROUND(PAGE8!$W$28,5)</f>
        <v>0</v>
      </c>
      <c r="C1093" s="43"/>
    </row>
    <row r="1094" spans="1:3">
      <c r="A1094" s="146" t="e">
        <f>$C$1&amp;".E30A.REM.FR.UIBUS.OS.H.M"</f>
        <v>#N/A</v>
      </c>
      <c r="B1094" s="77">
        <f>ROUND(PAGE8!$Y$28,5)</f>
        <v>0</v>
      </c>
      <c r="C1094" s="43"/>
    </row>
    <row r="1095" spans="1:3">
      <c r="A1095" s="146" t="e">
        <f>$C$1&amp;".E30A.REM.FR.CONSM.APPR.L."</f>
        <v>#N/A</v>
      </c>
      <c r="B1095" s="77">
        <f>ROUND(PAGE8!$C$30,5)</f>
        <v>0</v>
      </c>
      <c r="C1095" s="43"/>
    </row>
    <row r="1096" spans="1:3">
      <c r="A1096" s="146" t="e">
        <f>$C$1&amp;".E30A.REM.FR.CONSM.APPR.H."</f>
        <v>#N/A</v>
      </c>
      <c r="B1096" s="77">
        <f>ROUND(PAGE8!$E$30,5)</f>
        <v>0</v>
      </c>
      <c r="C1096" s="43"/>
    </row>
    <row r="1097" spans="1:3">
      <c r="A1097" s="146" t="e">
        <f>$C$1&amp;".E30A.REM.FR.CONSM.APPR.L.M"</f>
        <v>#N/A</v>
      </c>
      <c r="B1097" s="77">
        <f>ROUND(PAGE8!$G$30,5)</f>
        <v>0</v>
      </c>
      <c r="C1097" s="43"/>
    </row>
    <row r="1098" spans="1:3">
      <c r="A1098" s="146" t="e">
        <f>$C$1&amp;".E30A.REM.FR.CONSM.APPR.H.M"</f>
        <v>#N/A</v>
      </c>
      <c r="B1098" s="77">
        <f>ROUND(PAGE8!$I$30,5)</f>
        <v>0</v>
      </c>
      <c r="C1098" s="43"/>
    </row>
    <row r="1099" spans="1:3">
      <c r="A1099" s="146" t="e">
        <f>$C$1&amp;".E30A.REM.FR.CONSM.DISB.L."</f>
        <v>#N/A</v>
      </c>
      <c r="B1099" s="77">
        <f>ROUND(PAGE8!$K$30,5)</f>
        <v>0</v>
      </c>
      <c r="C1099" s="43"/>
    </row>
    <row r="1100" spans="1:3">
      <c r="A1100" s="146" t="e">
        <f>$C$1&amp;".E30A.REM.FR.CONSM.DISB.H."</f>
        <v>#N/A</v>
      </c>
      <c r="B1100" s="77">
        <f>ROUND(PAGE8!$M$30,5)</f>
        <v>0</v>
      </c>
      <c r="C1100" s="43"/>
    </row>
    <row r="1101" spans="1:3">
      <c r="A1101" s="146" t="e">
        <f>$C$1&amp;".E30A.REM.FR.CONSM.DISB.L.M"</f>
        <v>#N/A</v>
      </c>
      <c r="B1101" s="77">
        <f>ROUND(PAGE8!$O$30,5)</f>
        <v>0</v>
      </c>
      <c r="C1101" s="43"/>
    </row>
    <row r="1102" spans="1:3">
      <c r="A1102" s="146" t="e">
        <f>$C$1&amp;".E30A.REM.FR.CONSM.DISB.H.M"</f>
        <v>#N/A</v>
      </c>
      <c r="B1102" s="77">
        <f>ROUND(PAGE8!$Q$30,5)</f>
        <v>0</v>
      </c>
      <c r="C1102" s="43"/>
    </row>
    <row r="1103" spans="1:3">
      <c r="A1103" s="146" t="e">
        <f>$C$1&amp;".E30A.REM.FR.CONSM.OS.L."</f>
        <v>#N/A</v>
      </c>
      <c r="B1103" s="77">
        <f>ROUND(PAGE8!$S$30,5)</f>
        <v>0</v>
      </c>
      <c r="C1103" s="43"/>
    </row>
    <row r="1104" spans="1:3">
      <c r="A1104" s="146" t="e">
        <f>$C$1&amp;".E30A.REM.FR.CONSM.OS.H."</f>
        <v>#N/A</v>
      </c>
      <c r="B1104" s="77">
        <f>ROUND(PAGE8!$U$30,5)</f>
        <v>0</v>
      </c>
      <c r="C1104" s="43"/>
    </row>
    <row r="1105" spans="1:3">
      <c r="A1105" s="146" t="e">
        <f>$C$1&amp;".E30A.REM.FR.CONSM.OS.L.M"</f>
        <v>#N/A</v>
      </c>
      <c r="B1105" s="77">
        <f>ROUND(PAGE8!$W$30,5)</f>
        <v>0</v>
      </c>
      <c r="C1105" s="43"/>
    </row>
    <row r="1106" spans="1:3">
      <c r="A1106" s="146" t="e">
        <f>$C$1&amp;".E30A.REM.FR.CONSM.OS.H.M"</f>
        <v>#N/A</v>
      </c>
      <c r="B1106" s="77">
        <f>ROUND(PAGE8!$Y$30,5)</f>
        <v>0</v>
      </c>
      <c r="C1106" s="43"/>
    </row>
    <row r="1107" spans="1:3">
      <c r="A1107" s="146" t="e">
        <f>$C$1&amp;".E30A.REM.VR.PBSEC.APPR.L."</f>
        <v>#N/A</v>
      </c>
      <c r="B1107" s="77">
        <f>ROUND(PAGE8!$C$40,5)</f>
        <v>0</v>
      </c>
      <c r="C1107" s="43"/>
    </row>
    <row r="1108" spans="1:3">
      <c r="A1108" s="146" t="e">
        <f>$C$1&amp;".E30A.REM.VR.PBSEC.APPR.H."</f>
        <v>#N/A</v>
      </c>
      <c r="B1108" s="77">
        <f>ROUND(PAGE8!$E$40,5)</f>
        <v>0</v>
      </c>
      <c r="C1108" s="43"/>
    </row>
    <row r="1109" spans="1:3">
      <c r="A1109" s="146" t="e">
        <f>$C$1&amp;".E30A.REM.VR.PBSEC.APPR.L.M"</f>
        <v>#N/A</v>
      </c>
      <c r="B1109" s="77">
        <f>ROUND(PAGE8!$G$40,5)</f>
        <v>0</v>
      </c>
      <c r="C1109" s="43"/>
    </row>
    <row r="1110" spans="1:3">
      <c r="A1110" s="146" t="e">
        <f>$C$1&amp;".E30A.REM.VR.PBSEC.APPR.H.M"</f>
        <v>#N/A</v>
      </c>
      <c r="B1110" s="77">
        <f>ROUND(PAGE8!$I$40,5)</f>
        <v>0</v>
      </c>
      <c r="C1110" s="43"/>
    </row>
    <row r="1111" spans="1:3">
      <c r="A1111" s="146" t="e">
        <f>$C$1&amp;".E30A.REM.VR.PBSEC.DISB.L."</f>
        <v>#N/A</v>
      </c>
      <c r="B1111" s="77">
        <f>ROUND(PAGE8!$K$40,5)</f>
        <v>0</v>
      </c>
      <c r="C1111" s="43"/>
    </row>
    <row r="1112" spans="1:3">
      <c r="A1112" s="146" t="e">
        <f>$C$1&amp;".E30A.REM.VR.PBSEC.DISB.H."</f>
        <v>#N/A</v>
      </c>
      <c r="B1112" s="77">
        <f>ROUND(PAGE8!$M$40,5)</f>
        <v>0</v>
      </c>
      <c r="C1112" s="43"/>
    </row>
    <row r="1113" spans="1:3">
      <c r="A1113" s="146" t="e">
        <f>$C$1&amp;".E30A.REM.VR.PBSEC.DISB.L.M"</f>
        <v>#N/A</v>
      </c>
      <c r="B1113" s="77">
        <f>ROUND(PAGE8!$O$40,5)</f>
        <v>0</v>
      </c>
      <c r="C1113" s="43"/>
    </row>
    <row r="1114" spans="1:3">
      <c r="A1114" s="146" t="e">
        <f>$C$1&amp;".E30A.REM.VR.PBSEC.DISB.H.M"</f>
        <v>#N/A</v>
      </c>
      <c r="B1114" s="77">
        <f>ROUND(PAGE8!$Q$40,5)</f>
        <v>0</v>
      </c>
      <c r="C1114" s="43"/>
    </row>
    <row r="1115" spans="1:3">
      <c r="A1115" s="146" t="e">
        <f>$C$1&amp;".E30A.REM.VR.PBSEC.OS.L."</f>
        <v>#N/A</v>
      </c>
      <c r="B1115" s="77">
        <f>ROUND(PAGE8!$S$40,5)</f>
        <v>0</v>
      </c>
      <c r="C1115" s="43"/>
    </row>
    <row r="1116" spans="1:3">
      <c r="A1116" s="146" t="e">
        <f>$C$1&amp;".E30A.REM.VR.PBSEC.OS.H."</f>
        <v>#N/A</v>
      </c>
      <c r="B1116" s="77">
        <f>ROUND(PAGE8!$U$40,5)</f>
        <v>0</v>
      </c>
      <c r="C1116" s="43"/>
    </row>
    <row r="1117" spans="1:3">
      <c r="A1117" s="146" t="e">
        <f>$C$1&amp;".E30A.REM.VR.PBSEC.OS.L.M"</f>
        <v>#N/A</v>
      </c>
      <c r="B1117" s="77">
        <f>ROUND(PAGE8!$W$40,5)</f>
        <v>0</v>
      </c>
      <c r="C1117" s="43"/>
    </row>
    <row r="1118" spans="1:3">
      <c r="A1118" s="146" t="e">
        <f>$C$1&amp;".E30A.REM.VR.PBSEC.OS.H.M"</f>
        <v>#N/A</v>
      </c>
      <c r="B1118" s="77">
        <f>ROUND(PAGE8!$Y$40,5)</f>
        <v>0</v>
      </c>
      <c r="C1118" s="43"/>
    </row>
    <row r="1119" spans="1:3">
      <c r="A1119" s="146" t="e">
        <f>$C$1&amp;".E30A.REM.VR.PVFIN.APPR.L."</f>
        <v>#N/A</v>
      </c>
      <c r="B1119" s="77">
        <f>ROUND(PAGE8!$C$43,5)</f>
        <v>0</v>
      </c>
      <c r="C1119" s="43"/>
    </row>
    <row r="1120" spans="1:3">
      <c r="A1120" s="146" t="e">
        <f>$C$1&amp;".E30A.REM.VR.PVFIN.APPR.H."</f>
        <v>#N/A</v>
      </c>
      <c r="B1120" s="77">
        <f>ROUND(PAGE8!$E$43,5)</f>
        <v>0</v>
      </c>
      <c r="C1120" s="43"/>
    </row>
    <row r="1121" spans="1:3">
      <c r="A1121" s="146" t="e">
        <f>$C$1&amp;".E30A.REM.VR.PVFIN.APPR.L.M"</f>
        <v>#N/A</v>
      </c>
      <c r="B1121" s="77">
        <f>ROUND(PAGE8!$G$43,5)</f>
        <v>0</v>
      </c>
      <c r="C1121" s="43"/>
    </row>
    <row r="1122" spans="1:3">
      <c r="A1122" s="146" t="e">
        <f>$C$1&amp;".E30A.REM.VR.PVFIN.APPR.H.M"</f>
        <v>#N/A</v>
      </c>
      <c r="B1122" s="77">
        <f>ROUND(PAGE8!$I$43,5)</f>
        <v>0</v>
      </c>
      <c r="C1122" s="43"/>
    </row>
    <row r="1123" spans="1:3">
      <c r="A1123" s="146" t="e">
        <f>$C$1&amp;".E30A.REM.VR.PVFIN.DISB.L."</f>
        <v>#N/A</v>
      </c>
      <c r="B1123" s="77">
        <f>ROUND(PAGE8!$K$43,5)</f>
        <v>0</v>
      </c>
      <c r="C1123" s="43"/>
    </row>
    <row r="1124" spans="1:3">
      <c r="A1124" s="146" t="e">
        <f>$C$1&amp;".E30A.REM.VR.PVFIN.DISB.H."</f>
        <v>#N/A</v>
      </c>
      <c r="B1124" s="77">
        <f>ROUND(PAGE8!$M$43,5)</f>
        <v>0</v>
      </c>
      <c r="C1124" s="43"/>
    </row>
    <row r="1125" spans="1:3">
      <c r="A1125" s="146" t="e">
        <f>$C$1&amp;".E30A.REM.VR.PVFIN.DISB.L.M"</f>
        <v>#N/A</v>
      </c>
      <c r="B1125" s="77">
        <f>ROUND(PAGE8!$O$43,5)</f>
        <v>0</v>
      </c>
      <c r="C1125" s="43"/>
    </row>
    <row r="1126" spans="1:3">
      <c r="A1126" s="146" t="e">
        <f>$C$1&amp;".E30A.REM.VR.PVFIN.DISB.H.M"</f>
        <v>#N/A</v>
      </c>
      <c r="B1126" s="77">
        <f>ROUND(PAGE8!$Q$43,5)</f>
        <v>0</v>
      </c>
      <c r="C1126" s="43"/>
    </row>
    <row r="1127" spans="1:3">
      <c r="A1127" s="146" t="e">
        <f>$C$1&amp;".E30A.REM.VR.PVFIN.OS.L."</f>
        <v>#N/A</v>
      </c>
      <c r="B1127" s="77">
        <f>ROUND(PAGE8!$S$43,5)</f>
        <v>0</v>
      </c>
      <c r="C1127" s="43"/>
    </row>
    <row r="1128" spans="1:3">
      <c r="A1128" s="146" t="e">
        <f>$C$1&amp;".E30A.REM.VR.PVFIN.OS.H."</f>
        <v>#N/A</v>
      </c>
      <c r="B1128" s="77">
        <f>ROUND(PAGE8!$U$43,5)</f>
        <v>0</v>
      </c>
      <c r="C1128" s="43"/>
    </row>
    <row r="1129" spans="1:3">
      <c r="A1129" s="146" t="e">
        <f>$C$1&amp;".E30A.REM.VR.PVFIN.OS.L.M"</f>
        <v>#N/A</v>
      </c>
      <c r="B1129" s="77">
        <f>ROUND(PAGE8!$W$43,5)</f>
        <v>0</v>
      </c>
      <c r="C1129" s="43"/>
    </row>
    <row r="1130" spans="1:3">
      <c r="A1130" s="146" t="e">
        <f>$C$1&amp;".E30A.REM.VR.PVFIN.OS.H.M"</f>
        <v>#N/A</v>
      </c>
      <c r="B1130" s="77">
        <f>ROUND(PAGE8!$Y$43,5)</f>
        <v>0</v>
      </c>
      <c r="C1130" s="43"/>
    </row>
    <row r="1131" spans="1:3">
      <c r="A1131" s="146" t="e">
        <f>$C$1&amp;".E30A.REM.VR.IBUS.APPR.L."</f>
        <v>#N/A</v>
      </c>
      <c r="B1131" s="77">
        <f>ROUND(PAGE8!$C$46,5)</f>
        <v>0</v>
      </c>
      <c r="C1131" s="43"/>
    </row>
    <row r="1132" spans="1:3">
      <c r="A1132" s="146" t="e">
        <f>$C$1&amp;".E30A.REM.VR.IBUS.APPR.H."</f>
        <v>#N/A</v>
      </c>
      <c r="B1132" s="77">
        <f>ROUND(PAGE8!$E$46,5)</f>
        <v>0</v>
      </c>
      <c r="C1132" s="43"/>
    </row>
    <row r="1133" spans="1:3">
      <c r="A1133" s="146" t="e">
        <f>$C$1&amp;".E30A.REM.VR.IBUS.APPR.L.M"</f>
        <v>#N/A</v>
      </c>
      <c r="B1133" s="77">
        <f>ROUND(PAGE8!$G$46,5)</f>
        <v>0</v>
      </c>
      <c r="C1133" s="43"/>
    </row>
    <row r="1134" spans="1:3">
      <c r="A1134" s="146" t="e">
        <f>$C$1&amp;".E30A.REM.VR.IBUS.APPR.H.M"</f>
        <v>#N/A</v>
      </c>
      <c r="B1134" s="77">
        <f>ROUND(PAGE8!$I$46,5)</f>
        <v>0</v>
      </c>
      <c r="C1134" s="43"/>
    </row>
    <row r="1135" spans="1:3">
      <c r="A1135" s="146" t="e">
        <f>$C$1&amp;".E30A.REM.VR.IBUS.DISB.L."</f>
        <v>#N/A</v>
      </c>
      <c r="B1135" s="77">
        <f>ROUND(PAGE8!$K$46,5)</f>
        <v>0</v>
      </c>
      <c r="C1135" s="43"/>
    </row>
    <row r="1136" spans="1:3">
      <c r="A1136" s="146" t="e">
        <f>$C$1&amp;".E30A.REM.VR.IBUS.DISB.H."</f>
        <v>#N/A</v>
      </c>
      <c r="B1136" s="77">
        <f>ROUND(PAGE8!$M$46,5)</f>
        <v>0</v>
      </c>
      <c r="C1136" s="43"/>
    </row>
    <row r="1137" spans="1:3">
      <c r="A1137" s="146" t="e">
        <f>$C$1&amp;".E30A.REM.VR.IBUS.DISB.L.M"</f>
        <v>#N/A</v>
      </c>
      <c r="B1137" s="77">
        <f>ROUND(PAGE8!$O$46,5)</f>
        <v>0</v>
      </c>
      <c r="C1137" s="43"/>
    </row>
    <row r="1138" spans="1:3">
      <c r="A1138" s="146" t="e">
        <f>$C$1&amp;".E30A.REM.VR.IBUS.DISB.H.M"</f>
        <v>#N/A</v>
      </c>
      <c r="B1138" s="77">
        <f>ROUND(PAGE8!$Q$46,5)</f>
        <v>0</v>
      </c>
      <c r="C1138" s="43"/>
    </row>
    <row r="1139" spans="1:3">
      <c r="A1139" s="146" t="e">
        <f>$C$1&amp;".E30A.REM.VR.IBUS.OS.L."</f>
        <v>#N/A</v>
      </c>
      <c r="B1139" s="77">
        <f>ROUND(PAGE8!$S$46,5)</f>
        <v>0</v>
      </c>
      <c r="C1139" s="43"/>
    </row>
    <row r="1140" spans="1:3">
      <c r="A1140" s="146" t="e">
        <f>$C$1&amp;".E30A.REM.VR.IBUS.OS.H."</f>
        <v>#N/A</v>
      </c>
      <c r="B1140" s="77">
        <f>ROUND(PAGE8!$U$46,5)</f>
        <v>0</v>
      </c>
      <c r="C1140" s="43"/>
    </row>
    <row r="1141" spans="1:3">
      <c r="A1141" s="146" t="e">
        <f>$C$1&amp;".E30A.REM.VR.IBUS.OS.L.M"</f>
        <v>#N/A</v>
      </c>
      <c r="B1141" s="77">
        <f>ROUND(PAGE8!$W$46,5)</f>
        <v>0</v>
      </c>
      <c r="C1141" s="43"/>
    </row>
    <row r="1142" spans="1:3">
      <c r="A1142" s="146" t="e">
        <f>$C$1&amp;".E30A.REM.VR.IBUS.OS.H.M"</f>
        <v>#N/A</v>
      </c>
      <c r="B1142" s="77">
        <f>ROUND(PAGE8!$Y$46,5)</f>
        <v>0</v>
      </c>
      <c r="C1142" s="43"/>
    </row>
    <row r="1143" spans="1:3">
      <c r="A1143" s="146" t="e">
        <f>$C$1&amp;".E30A.REM.VR.UIBUS.APPR.L."</f>
        <v>#N/A</v>
      </c>
      <c r="B1143" s="77">
        <f>ROUND(PAGE8!$C$49,5)</f>
        <v>0</v>
      </c>
      <c r="C1143" s="43"/>
    </row>
    <row r="1144" spans="1:3">
      <c r="A1144" s="146" t="e">
        <f>$C$1&amp;".E30A.REM.VR.UIBUS.APPR.H."</f>
        <v>#N/A</v>
      </c>
      <c r="B1144" s="77">
        <f>ROUND(PAGE8!$E$49,5)</f>
        <v>0</v>
      </c>
      <c r="C1144" s="43"/>
    </row>
    <row r="1145" spans="1:3">
      <c r="A1145" s="146" t="e">
        <f>$C$1&amp;".E30A.REM.VR.UIBUS.APPR.L.M"</f>
        <v>#N/A</v>
      </c>
      <c r="B1145" s="77">
        <f>ROUND(PAGE8!$G$49,5)</f>
        <v>0</v>
      </c>
      <c r="C1145" s="43"/>
    </row>
    <row r="1146" spans="1:3">
      <c r="A1146" s="146" t="e">
        <f>$C$1&amp;".E30A.REM.VR.UIBUS.APPR.H.M"</f>
        <v>#N/A</v>
      </c>
      <c r="B1146" s="77">
        <f>ROUND(PAGE8!$I$49,5)</f>
        <v>0</v>
      </c>
      <c r="C1146" s="43"/>
    </row>
    <row r="1147" spans="1:3">
      <c r="A1147" s="146" t="e">
        <f>$C$1&amp;".E30A.REM.VR.UIBUS.DISB.L."</f>
        <v>#N/A</v>
      </c>
      <c r="B1147" s="77">
        <f>ROUND(PAGE8!$K$49,5)</f>
        <v>0</v>
      </c>
      <c r="C1147" s="43"/>
    </row>
    <row r="1148" spans="1:3">
      <c r="A1148" s="146" t="e">
        <f>$C$1&amp;".E30A.REM.VR.UIBUS.DISB.H."</f>
        <v>#N/A</v>
      </c>
      <c r="B1148" s="77">
        <f>ROUND(PAGE8!$M$49,5)</f>
        <v>0</v>
      </c>
      <c r="C1148" s="43"/>
    </row>
    <row r="1149" spans="1:3">
      <c r="A1149" s="146" t="e">
        <f>$C$1&amp;".E30A.REM.VR.UIBUS.DISB.L.M"</f>
        <v>#N/A</v>
      </c>
      <c r="B1149" s="77">
        <f>ROUND(PAGE8!$O$49,5)</f>
        <v>0</v>
      </c>
      <c r="C1149" s="43"/>
    </row>
    <row r="1150" spans="1:3">
      <c r="A1150" s="146" t="e">
        <f>$C$1&amp;".E30A.REM.VR.UIBUS.DISB.H.M"</f>
        <v>#N/A</v>
      </c>
      <c r="B1150" s="77">
        <f>ROUND(PAGE8!$Q$49,5)</f>
        <v>0</v>
      </c>
      <c r="C1150" s="43"/>
    </row>
    <row r="1151" spans="1:3">
      <c r="A1151" s="146" t="e">
        <f>$C$1&amp;".E30A.REM.VR.UIBUS.OS.L."</f>
        <v>#N/A</v>
      </c>
      <c r="B1151" s="77">
        <f>ROUND(PAGE8!$S$49,5)</f>
        <v>0</v>
      </c>
      <c r="C1151" s="43"/>
    </row>
    <row r="1152" spans="1:3">
      <c r="A1152" s="146" t="e">
        <f>$C$1&amp;".E30A.REM.VR.UIBUS.OS.H."</f>
        <v>#N/A</v>
      </c>
      <c r="B1152" s="77">
        <f>ROUND(PAGE8!$U$49,5)</f>
        <v>0</v>
      </c>
      <c r="C1152" s="43"/>
    </row>
    <row r="1153" spans="1:3">
      <c r="A1153" s="146" t="e">
        <f>$C$1&amp;".E30A.REM.VR.UIBUS.OS.L.M"</f>
        <v>#N/A</v>
      </c>
      <c r="B1153" s="77">
        <f>ROUND(PAGE8!$W$49,5)</f>
        <v>0</v>
      </c>
      <c r="C1153" s="43"/>
    </row>
    <row r="1154" spans="1:3">
      <c r="A1154" s="146" t="e">
        <f>$C$1&amp;".E30A.REM.VR.UIBUS.OS.H.M"</f>
        <v>#N/A</v>
      </c>
      <c r="B1154" s="77">
        <f>ROUND(PAGE8!$Y$49,5)</f>
        <v>0</v>
      </c>
      <c r="C1154" s="43"/>
    </row>
    <row r="1155" spans="1:3">
      <c r="A1155" s="146" t="e">
        <f>$C$1&amp;".E30A.REM.VR.CONSM.APPR.L."</f>
        <v>#N/A</v>
      </c>
      <c r="B1155" s="77">
        <f>ROUND(PAGE8!$C$51,5)</f>
        <v>0</v>
      </c>
      <c r="C1155" s="43"/>
    </row>
    <row r="1156" spans="1:3">
      <c r="A1156" s="146" t="e">
        <f>$C$1&amp;".E30A.REM.VR.CONSM.APPR.H."</f>
        <v>#N/A</v>
      </c>
      <c r="B1156" s="77">
        <f>ROUND(PAGE8!$E$51,5)</f>
        <v>0</v>
      </c>
      <c r="C1156" s="43"/>
    </row>
    <row r="1157" spans="1:3">
      <c r="A1157" s="146" t="e">
        <f>$C$1&amp;".E30A.REM.VR.CONSM.APPR.L.M"</f>
        <v>#N/A</v>
      </c>
      <c r="B1157" s="77">
        <f>ROUND(PAGE8!$G$51,5)</f>
        <v>0</v>
      </c>
      <c r="C1157" s="43"/>
    </row>
    <row r="1158" spans="1:3">
      <c r="A1158" s="146" t="e">
        <f>$C$1&amp;".E30A.REM.VR.CONSM.APPR.H.M"</f>
        <v>#N/A</v>
      </c>
      <c r="B1158" s="77">
        <f>ROUND(PAGE8!$I$51,5)</f>
        <v>0</v>
      </c>
      <c r="C1158" s="43"/>
    </row>
    <row r="1159" spans="1:3">
      <c r="A1159" s="146" t="e">
        <f>$C$1&amp;".E30A.REM.VR.CONSM.DISB.L."</f>
        <v>#N/A</v>
      </c>
      <c r="B1159" s="77">
        <f>ROUND(PAGE8!$K$51,5)</f>
        <v>0</v>
      </c>
      <c r="C1159" s="43"/>
    </row>
    <row r="1160" spans="1:3">
      <c r="A1160" s="146" t="e">
        <f>$C$1&amp;".E30A.REM.VR.CONSM.DISB.H."</f>
        <v>#N/A</v>
      </c>
      <c r="B1160" s="77">
        <f>ROUND(PAGE8!$M$51,5)</f>
        <v>0</v>
      </c>
      <c r="C1160" s="43"/>
    </row>
    <row r="1161" spans="1:3">
      <c r="A1161" s="146" t="e">
        <f>$C$1&amp;".E30A.REM.VR.CONSM.DISB.L.M"</f>
        <v>#N/A</v>
      </c>
      <c r="B1161" s="77">
        <f>ROUND(PAGE8!$O$51,5)</f>
        <v>0</v>
      </c>
      <c r="C1161" s="43"/>
    </row>
    <row r="1162" spans="1:3">
      <c r="A1162" s="146" t="e">
        <f>$C$1&amp;".E30A.REM.VR.CONSM.DISB.H.M"</f>
        <v>#N/A</v>
      </c>
      <c r="B1162" s="77">
        <f>ROUND(PAGE8!$Q$51,5)</f>
        <v>0</v>
      </c>
      <c r="C1162" s="43"/>
    </row>
    <row r="1163" spans="1:3">
      <c r="A1163" s="146" t="e">
        <f>$C$1&amp;".E30A.REM.VR.CONSM.OS.L."</f>
        <v>#N/A</v>
      </c>
      <c r="B1163" s="77">
        <f>ROUND(PAGE8!$S$51,5)</f>
        <v>0</v>
      </c>
      <c r="C1163" s="43"/>
    </row>
    <row r="1164" spans="1:3">
      <c r="A1164" s="146" t="e">
        <f>$C$1&amp;".E30A.REM.VR.CONSM.OS.H."</f>
        <v>#N/A</v>
      </c>
      <c r="B1164" s="77">
        <f>ROUND(PAGE8!$U$51,5)</f>
        <v>0</v>
      </c>
      <c r="C1164" s="43"/>
    </row>
    <row r="1165" spans="1:3">
      <c r="A1165" s="146" t="e">
        <f>$C$1&amp;".E30A.REM.VR.CONSM.OS.L.M"</f>
        <v>#N/A</v>
      </c>
      <c r="B1165" s="77">
        <f>ROUND(PAGE8!$W$51,5)</f>
        <v>0</v>
      </c>
      <c r="C1165" s="43"/>
    </row>
    <row r="1166" spans="1:3">
      <c r="A1166" s="146" t="e">
        <f>$C$1&amp;".E30A.REM.VR.CONSM.OS.H.M"</f>
        <v>#N/A</v>
      </c>
      <c r="B1166" s="77">
        <f>ROUND(PAGE8!$Y$51,5)</f>
        <v>0</v>
      </c>
      <c r="C1166" s="43"/>
    </row>
    <row r="1167" spans="1:3">
      <c r="A1167" s="146" t="e">
        <f>$C$1&amp;".E30A.REM.AR.PBSEC.APPR.L."</f>
        <v>#N/A</v>
      </c>
      <c r="B1167" s="77">
        <f>ROUND(PAGE8!$C$61,5)</f>
        <v>0</v>
      </c>
      <c r="C1167" s="43"/>
    </row>
    <row r="1168" spans="1:3">
      <c r="A1168" s="146" t="e">
        <f>$C$1&amp;".E30A.REM.AR.PBSEC.APPR.H."</f>
        <v>#N/A</v>
      </c>
      <c r="B1168" s="77">
        <f>ROUND(PAGE8!$E$61,5)</f>
        <v>0</v>
      </c>
      <c r="C1168" s="43"/>
    </row>
    <row r="1169" spans="1:3">
      <c r="A1169" s="146" t="e">
        <f>$C$1&amp;".E30A.REM.AR.PBSEC.APPR.L.M"</f>
        <v>#N/A</v>
      </c>
      <c r="B1169" s="77">
        <f>ROUND(PAGE8!$G$61,5)</f>
        <v>0</v>
      </c>
      <c r="C1169" s="43"/>
    </row>
    <row r="1170" spans="1:3">
      <c r="A1170" s="146" t="e">
        <f>$C$1&amp;".E30A.REM.AR.PBSEC.APPR.H.M"</f>
        <v>#N/A</v>
      </c>
      <c r="B1170" s="77">
        <f>ROUND(PAGE8!$I$61,5)</f>
        <v>0</v>
      </c>
      <c r="C1170" s="43"/>
    </row>
    <row r="1171" spans="1:3">
      <c r="A1171" s="146" t="e">
        <f>$C$1&amp;".E30A.REM.AR.PBSEC.DISB.L."</f>
        <v>#N/A</v>
      </c>
      <c r="B1171" s="77">
        <f>ROUND(PAGE8!$K$61,5)</f>
        <v>0</v>
      </c>
      <c r="C1171" s="43"/>
    </row>
    <row r="1172" spans="1:3">
      <c r="A1172" s="146" t="e">
        <f>$C$1&amp;".E30A.REM.AR.PBSEC.DISB.H."</f>
        <v>#N/A</v>
      </c>
      <c r="B1172" s="77">
        <f>ROUND(PAGE8!$M$61,5)</f>
        <v>0</v>
      </c>
      <c r="C1172" s="43"/>
    </row>
    <row r="1173" spans="1:3">
      <c r="A1173" s="146" t="e">
        <f>$C$1&amp;".E30A.REM.AR.PBSEC.DISB.L.M"</f>
        <v>#N/A</v>
      </c>
      <c r="B1173" s="77">
        <f>ROUND(PAGE8!$O$61,5)</f>
        <v>0</v>
      </c>
      <c r="C1173" s="43"/>
    </row>
    <row r="1174" spans="1:3">
      <c r="A1174" s="146" t="e">
        <f>$C$1&amp;".E30A.REM.AR.PBSEC.DISB.H.M"</f>
        <v>#N/A</v>
      </c>
      <c r="B1174" s="77">
        <f>ROUND(PAGE8!$Q$61,5)</f>
        <v>0</v>
      </c>
      <c r="C1174" s="43"/>
    </row>
    <row r="1175" spans="1:3">
      <c r="A1175" s="146" t="e">
        <f>$C$1&amp;".E30A.REM.AR.PBSEC.OS.L."</f>
        <v>#N/A</v>
      </c>
      <c r="B1175" s="77">
        <f>ROUND(PAGE8!$S$61,5)</f>
        <v>0</v>
      </c>
      <c r="C1175" s="43"/>
    </row>
    <row r="1176" spans="1:3">
      <c r="A1176" s="146" t="e">
        <f>$C$1&amp;".E30A.REM.AR.PBSEC.OS.H."</f>
        <v>#N/A</v>
      </c>
      <c r="B1176" s="77">
        <f>ROUND(PAGE8!$U$61,5)</f>
        <v>0</v>
      </c>
      <c r="C1176" s="43"/>
    </row>
    <row r="1177" spans="1:3">
      <c r="A1177" s="146" t="e">
        <f>$C$1&amp;".E30A.REM.AR.PBSEC.OS.L.M"</f>
        <v>#N/A</v>
      </c>
      <c r="B1177" s="77">
        <f>ROUND(PAGE8!$W$61,5)</f>
        <v>0</v>
      </c>
      <c r="C1177" s="43"/>
    </row>
    <row r="1178" spans="1:3">
      <c r="A1178" s="146" t="e">
        <f>$C$1&amp;".E30A.REM.AR.PBSEC.OS.H.M"</f>
        <v>#N/A</v>
      </c>
      <c r="B1178" s="77">
        <f>ROUND(PAGE8!$Y$61,5)</f>
        <v>0</v>
      </c>
      <c r="C1178" s="43"/>
    </row>
    <row r="1179" spans="1:3">
      <c r="A1179" s="146" t="e">
        <f>$C$1&amp;".E30A.REM.AR.PVFIN.APPR.L."</f>
        <v>#N/A</v>
      </c>
      <c r="B1179" s="77">
        <f>ROUND(PAGE8!$C$64,5)</f>
        <v>0</v>
      </c>
      <c r="C1179" s="43"/>
    </row>
    <row r="1180" spans="1:3">
      <c r="A1180" s="146" t="e">
        <f>$C$1&amp;".E30A.REM.AR.PVFIN.APPR.H."</f>
        <v>#N/A</v>
      </c>
      <c r="B1180" s="77">
        <f>ROUND(PAGE8!$E$64,5)</f>
        <v>0</v>
      </c>
      <c r="C1180" s="43"/>
    </row>
    <row r="1181" spans="1:3">
      <c r="A1181" s="146" t="e">
        <f>$C$1&amp;".E30A.REM.AR.PVFIN.APPR.L.M"</f>
        <v>#N/A</v>
      </c>
      <c r="B1181" s="77">
        <f>ROUND(PAGE8!$G$64,5)</f>
        <v>0</v>
      </c>
      <c r="C1181" s="43"/>
    </row>
    <row r="1182" spans="1:3">
      <c r="A1182" s="146" t="e">
        <f>$C$1&amp;".E30A.REM.AR.PVFIN.APPR.H.M"</f>
        <v>#N/A</v>
      </c>
      <c r="B1182" s="77">
        <f>ROUND(PAGE8!$I$64,5)</f>
        <v>0</v>
      </c>
      <c r="C1182" s="43"/>
    </row>
    <row r="1183" spans="1:3">
      <c r="A1183" s="146" t="e">
        <f>$C$1&amp;".E30A.REM.AR.PVFIN.DISB.L."</f>
        <v>#N/A</v>
      </c>
      <c r="B1183" s="77">
        <f>ROUND(PAGE8!$K$64,5)</f>
        <v>0</v>
      </c>
      <c r="C1183" s="43"/>
    </row>
    <row r="1184" spans="1:3">
      <c r="A1184" s="146" t="e">
        <f>$C$1&amp;".E30A.REM.AR.PVFIN.DISB.H."</f>
        <v>#N/A</v>
      </c>
      <c r="B1184" s="77">
        <f>ROUND(PAGE8!$M$64,5)</f>
        <v>0</v>
      </c>
      <c r="C1184" s="43"/>
    </row>
    <row r="1185" spans="1:3">
      <c r="A1185" s="146" t="e">
        <f>$C$1&amp;".E30A.REM.AR.PVFIN.DISB.L.M"</f>
        <v>#N/A</v>
      </c>
      <c r="B1185" s="77">
        <f>ROUND(PAGE8!$O$64,5)</f>
        <v>0</v>
      </c>
      <c r="C1185" s="43"/>
    </row>
    <row r="1186" spans="1:3">
      <c r="A1186" s="146" t="e">
        <f>$C$1&amp;".E30A.REM.AR.PVFIN.DISB.H.M"</f>
        <v>#N/A</v>
      </c>
      <c r="B1186" s="77">
        <f>ROUND(PAGE8!$Q$64,5)</f>
        <v>0</v>
      </c>
      <c r="C1186" s="43"/>
    </row>
    <row r="1187" spans="1:3">
      <c r="A1187" s="146" t="e">
        <f>$C$1&amp;".E30A.REM.AR.PVFIN.OS.L."</f>
        <v>#N/A</v>
      </c>
      <c r="B1187" s="77">
        <f>ROUND(PAGE8!$S$64,5)</f>
        <v>0</v>
      </c>
      <c r="C1187" s="43"/>
    </row>
    <row r="1188" spans="1:3">
      <c r="A1188" s="146" t="e">
        <f>$C$1&amp;".E30A.REM.AR.PVFIN.OS.H."</f>
        <v>#N/A</v>
      </c>
      <c r="B1188" s="77">
        <f>ROUND(PAGE8!$U$64,5)</f>
        <v>0</v>
      </c>
      <c r="C1188" s="43"/>
    </row>
    <row r="1189" spans="1:3">
      <c r="A1189" s="146" t="e">
        <f>$C$1&amp;".E30A.REM.AR.PVFIN.OS.L.M"</f>
        <v>#N/A</v>
      </c>
      <c r="B1189" s="77">
        <f>ROUND(PAGE8!$W$64,5)</f>
        <v>0</v>
      </c>
      <c r="C1189" s="43"/>
    </row>
    <row r="1190" spans="1:3">
      <c r="A1190" s="146" t="e">
        <f>$C$1&amp;".E30A.REM.AR.PVFIN.OS.H.M"</f>
        <v>#N/A</v>
      </c>
      <c r="B1190" s="77">
        <f>ROUND(PAGE8!$Y$64,5)</f>
        <v>0</v>
      </c>
      <c r="C1190" s="43"/>
    </row>
    <row r="1191" spans="1:3">
      <c r="A1191" s="146" t="e">
        <f>$C$1&amp;".E30A.REM.AR.IBUS.APPR.L."</f>
        <v>#N/A</v>
      </c>
      <c r="B1191" s="77">
        <f>ROUND(PAGE8!$C$67,5)</f>
        <v>0</v>
      </c>
      <c r="C1191" s="43"/>
    </row>
    <row r="1192" spans="1:3">
      <c r="A1192" s="146" t="e">
        <f>$C$1&amp;".E30A.REM.AR.IBUS.APPR.H."</f>
        <v>#N/A</v>
      </c>
      <c r="B1192" s="77">
        <f>ROUND(PAGE8!$E$67,5)</f>
        <v>0</v>
      </c>
      <c r="C1192" s="43"/>
    </row>
    <row r="1193" spans="1:3">
      <c r="A1193" s="146" t="e">
        <f>$C$1&amp;".E30A.REM.AR.IBUS.APPR.L.M"</f>
        <v>#N/A</v>
      </c>
      <c r="B1193" s="77">
        <f>ROUND(PAGE8!$G$67,5)</f>
        <v>0</v>
      </c>
      <c r="C1193" s="43"/>
    </row>
    <row r="1194" spans="1:3">
      <c r="A1194" s="146" t="e">
        <f>$C$1&amp;".E30A.REM.AR.IBUS.APPR.H.M"</f>
        <v>#N/A</v>
      </c>
      <c r="B1194" s="77">
        <f>ROUND(PAGE8!$I$67,5)</f>
        <v>0</v>
      </c>
      <c r="C1194" s="43"/>
    </row>
    <row r="1195" spans="1:3">
      <c r="A1195" s="146" t="e">
        <f>$C$1&amp;".E30A.REM.AR.IBUS.DISB.L."</f>
        <v>#N/A</v>
      </c>
      <c r="B1195" s="77">
        <f>ROUND(PAGE8!$K$67,5)</f>
        <v>0</v>
      </c>
      <c r="C1195" s="43"/>
    </row>
    <row r="1196" spans="1:3">
      <c r="A1196" s="146" t="e">
        <f>$C$1&amp;".E30A.REM.AR.IBUS.DISB.H."</f>
        <v>#N/A</v>
      </c>
      <c r="B1196" s="77">
        <f>ROUND(PAGE8!$M$67,5)</f>
        <v>0</v>
      </c>
      <c r="C1196" s="43"/>
    </row>
    <row r="1197" spans="1:3">
      <c r="A1197" s="146" t="e">
        <f>$C$1&amp;".E30A.REM.AR.IBUS.DISB.L.M"</f>
        <v>#N/A</v>
      </c>
      <c r="B1197" s="77">
        <f>ROUND(PAGE8!$O$67,5)</f>
        <v>0</v>
      </c>
      <c r="C1197" s="43"/>
    </row>
    <row r="1198" spans="1:3">
      <c r="A1198" s="146" t="e">
        <f>$C$1&amp;".E30A.REM.AR.IBUS.DISB.H.M"</f>
        <v>#N/A</v>
      </c>
      <c r="B1198" s="77">
        <f>ROUND(PAGE8!$Q$67,5)</f>
        <v>0</v>
      </c>
      <c r="C1198" s="43"/>
    </row>
    <row r="1199" spans="1:3">
      <c r="A1199" s="146" t="e">
        <f>$C$1&amp;".E30A.REM.AR.IBUS.OS.L."</f>
        <v>#N/A</v>
      </c>
      <c r="B1199" s="77">
        <f>ROUND(PAGE8!$S$67,5)</f>
        <v>0</v>
      </c>
      <c r="C1199" s="43"/>
    </row>
    <row r="1200" spans="1:3">
      <c r="A1200" s="146" t="e">
        <f>$C$1&amp;".E30A.REM.AR.IBUS.OS.H."</f>
        <v>#N/A</v>
      </c>
      <c r="B1200" s="77">
        <f>ROUND(PAGE8!$U$67,5)</f>
        <v>0</v>
      </c>
      <c r="C1200" s="43"/>
    </row>
    <row r="1201" spans="1:3">
      <c r="A1201" s="146" t="e">
        <f>$C$1&amp;".E30A.REM.AR.IBUS.OS.L.M"</f>
        <v>#N/A</v>
      </c>
      <c r="B1201" s="77">
        <f>ROUND(PAGE8!$W$67,5)</f>
        <v>0</v>
      </c>
      <c r="C1201" s="43"/>
    </row>
    <row r="1202" spans="1:3">
      <c r="A1202" s="146" t="e">
        <f>$C$1&amp;".E30A.REM.AR.IBUS.OS.H.M"</f>
        <v>#N/A</v>
      </c>
      <c r="B1202" s="77">
        <f>ROUND(PAGE8!$Y$67,5)</f>
        <v>0</v>
      </c>
      <c r="C1202" s="43"/>
    </row>
    <row r="1203" spans="1:3">
      <c r="A1203" s="146" t="e">
        <f>$C$1&amp;".E30A.REM.AR.UIBUS.APPR.L."</f>
        <v>#N/A</v>
      </c>
      <c r="B1203" s="77">
        <f>ROUND(PAGE8!$C$70,5)</f>
        <v>0</v>
      </c>
      <c r="C1203" s="43"/>
    </row>
    <row r="1204" spans="1:3">
      <c r="A1204" s="146" t="e">
        <f>$C$1&amp;".E30A.REM.AR.UIBUS.APPR.H."</f>
        <v>#N/A</v>
      </c>
      <c r="B1204" s="77">
        <f>ROUND(PAGE8!$E$70,5)</f>
        <v>0</v>
      </c>
      <c r="C1204" s="43"/>
    </row>
    <row r="1205" spans="1:3">
      <c r="A1205" s="146" t="e">
        <f>$C$1&amp;".E30A.REM.AR.UIBUS.APPR.L.M"</f>
        <v>#N/A</v>
      </c>
      <c r="B1205" s="77">
        <f>ROUND(PAGE8!$G$70,5)</f>
        <v>0</v>
      </c>
      <c r="C1205" s="43"/>
    </row>
    <row r="1206" spans="1:3">
      <c r="A1206" s="146" t="e">
        <f>$C$1&amp;".E30A.REM.AR.UIBUS.APPR.H.M"</f>
        <v>#N/A</v>
      </c>
      <c r="B1206" s="77">
        <f>ROUND(PAGE8!$I$70,5)</f>
        <v>0</v>
      </c>
      <c r="C1206" s="43"/>
    </row>
    <row r="1207" spans="1:3">
      <c r="A1207" s="146" t="e">
        <f>$C$1&amp;".E30A.REM.AR.UIBUS.DISB.L."</f>
        <v>#N/A</v>
      </c>
      <c r="B1207" s="77">
        <f>ROUND(PAGE8!$K$70,5)</f>
        <v>0</v>
      </c>
      <c r="C1207" s="43"/>
    </row>
    <row r="1208" spans="1:3">
      <c r="A1208" s="146" t="e">
        <f>$C$1&amp;".E30A.REM.AR.UIBUS.DISB.H."</f>
        <v>#N/A</v>
      </c>
      <c r="B1208" s="77">
        <f>ROUND(PAGE8!$M$70,5)</f>
        <v>0</v>
      </c>
      <c r="C1208" s="43"/>
    </row>
    <row r="1209" spans="1:3">
      <c r="A1209" s="146" t="e">
        <f>$C$1&amp;".E30A.REM.AR.UIBUS.DISB.L.M"</f>
        <v>#N/A</v>
      </c>
      <c r="B1209" s="77">
        <f>ROUND(PAGE8!$O$70,5)</f>
        <v>0</v>
      </c>
      <c r="C1209" s="43"/>
    </row>
    <row r="1210" spans="1:3">
      <c r="A1210" s="146" t="e">
        <f>$C$1&amp;".E30A.REM.AR.UIBUS.DISB.H.M"</f>
        <v>#N/A</v>
      </c>
      <c r="B1210" s="77">
        <f>ROUND(PAGE8!$Q$70,5)</f>
        <v>0</v>
      </c>
      <c r="C1210" s="43"/>
    </row>
    <row r="1211" spans="1:3">
      <c r="A1211" s="146" t="e">
        <f>$C$1&amp;".E30A.REM.AR.UIBUS.OS.L."</f>
        <v>#N/A</v>
      </c>
      <c r="B1211" s="77">
        <f>ROUND(PAGE8!$S$70,5)</f>
        <v>0</v>
      </c>
      <c r="C1211" s="43"/>
    </row>
    <row r="1212" spans="1:3">
      <c r="A1212" s="146" t="e">
        <f>$C$1&amp;".E30A.REM.AR.UIBUS.OS.H."</f>
        <v>#N/A</v>
      </c>
      <c r="B1212" s="77">
        <f>ROUND(PAGE8!$U$70,5)</f>
        <v>0</v>
      </c>
      <c r="C1212" s="43"/>
    </row>
    <row r="1213" spans="1:3">
      <c r="A1213" s="146" t="e">
        <f>$C$1&amp;".E30A.REM.AR.UIBUS.OS.L.M"</f>
        <v>#N/A</v>
      </c>
      <c r="B1213" s="77">
        <f>ROUND(PAGE8!$W$70,5)</f>
        <v>0</v>
      </c>
      <c r="C1213" s="43"/>
    </row>
    <row r="1214" spans="1:3">
      <c r="A1214" s="146" t="e">
        <f>$C$1&amp;".E30A.REM.AR.UIBUS.OS.H.M"</f>
        <v>#N/A</v>
      </c>
      <c r="B1214" s="77">
        <f>ROUND(PAGE8!$Y$70,5)</f>
        <v>0</v>
      </c>
      <c r="C1214" s="43"/>
    </row>
    <row r="1215" spans="1:3">
      <c r="A1215" s="146" t="e">
        <f>$C$1&amp;".E30A.REM.AR.CONSM.APPR.L."</f>
        <v>#N/A</v>
      </c>
      <c r="B1215" s="77">
        <f>ROUND(PAGE8!$C$72,5)</f>
        <v>0</v>
      </c>
      <c r="C1215" s="43"/>
    </row>
    <row r="1216" spans="1:3">
      <c r="A1216" s="146" t="e">
        <f>$C$1&amp;".E30A.REM.AR.CONSM.APPR.H."</f>
        <v>#N/A</v>
      </c>
      <c r="B1216" s="77">
        <f>ROUND(PAGE8!$E$72,5)</f>
        <v>0</v>
      </c>
      <c r="C1216" s="43"/>
    </row>
    <row r="1217" spans="1:3">
      <c r="A1217" s="146" t="e">
        <f>$C$1&amp;".E30A.REM.AR.CONSM.APPR.L.M"</f>
        <v>#N/A</v>
      </c>
      <c r="B1217" s="77">
        <f>ROUND(PAGE8!$G$72,5)</f>
        <v>0</v>
      </c>
      <c r="C1217" s="43"/>
    </row>
    <row r="1218" spans="1:3">
      <c r="A1218" s="146" t="e">
        <f>$C$1&amp;".E30A.REM.AR.CONSM.APPR.H.M"</f>
        <v>#N/A</v>
      </c>
      <c r="B1218" s="77">
        <f>ROUND(PAGE8!$I$72,5)</f>
        <v>0</v>
      </c>
      <c r="C1218" s="43"/>
    </row>
    <row r="1219" spans="1:3">
      <c r="A1219" s="146" t="e">
        <f>$C$1&amp;".E30A.REM.AR.CONSM.DISB.L."</f>
        <v>#N/A</v>
      </c>
      <c r="B1219" s="77">
        <f>ROUND(PAGE8!$K$72,5)</f>
        <v>0</v>
      </c>
      <c r="C1219" s="43"/>
    </row>
    <row r="1220" spans="1:3">
      <c r="A1220" s="146" t="e">
        <f>$C$1&amp;".E30A.REM.AR.CONSM.DISB.H."</f>
        <v>#N/A</v>
      </c>
      <c r="B1220" s="77">
        <f>ROUND(PAGE8!$M$72,5)</f>
        <v>0</v>
      </c>
      <c r="C1220" s="43"/>
    </row>
    <row r="1221" spans="1:3">
      <c r="A1221" s="146" t="e">
        <f>$C$1&amp;".E30A.REM.AR.CONSM.DISB.L.M"</f>
        <v>#N/A</v>
      </c>
      <c r="B1221" s="77">
        <f>ROUND(PAGE8!$O$72,5)</f>
        <v>0</v>
      </c>
      <c r="C1221" s="43"/>
    </row>
    <row r="1222" spans="1:3">
      <c r="A1222" s="146" t="e">
        <f>$C$1&amp;".E30A.REM.AR.CONSM.DISB.H.M"</f>
        <v>#N/A</v>
      </c>
      <c r="B1222" s="77">
        <f>ROUND(PAGE8!$Q$72,5)</f>
        <v>0</v>
      </c>
      <c r="C1222" s="43"/>
    </row>
    <row r="1223" spans="1:3">
      <c r="A1223" s="146" t="e">
        <f>$C$1&amp;".E30A.REM.AR.CONSM.OS.L."</f>
        <v>#N/A</v>
      </c>
      <c r="B1223" s="77">
        <f>ROUND(PAGE8!$S$72,5)</f>
        <v>0</v>
      </c>
      <c r="C1223" s="43"/>
    </row>
    <row r="1224" spans="1:3">
      <c r="A1224" s="146" t="e">
        <f>$C$1&amp;".E30A.REM.AR.CONSM.OS.H."</f>
        <v>#N/A</v>
      </c>
      <c r="B1224" s="77">
        <f>ROUND(PAGE8!$U$72,5)</f>
        <v>0</v>
      </c>
      <c r="C1224" s="43"/>
    </row>
    <row r="1225" spans="1:3">
      <c r="A1225" s="146" t="e">
        <f>$C$1&amp;".E30A.REM.AR.CONSM.OS.L.M"</f>
        <v>#N/A</v>
      </c>
      <c r="B1225" s="77">
        <f>ROUND(PAGE8!$W$72,5)</f>
        <v>0</v>
      </c>
      <c r="C1225" s="43"/>
    </row>
    <row r="1226" spans="1:3">
      <c r="A1226" s="146" t="e">
        <f>$C$1&amp;".E30A.REM.AR.CONSM.OS.H.M"</f>
        <v>#N/A</v>
      </c>
      <c r="B1226" s="77">
        <f>ROUND(PAGE8!$Y$72,5)</f>
        <v>0</v>
      </c>
      <c r="C1226" s="43"/>
    </row>
    <row r="1227" spans="1:3">
      <c r="A1227" s="153" t="s">
        <v>171</v>
      </c>
      <c r="B1227" s="43" t="s">
        <v>116</v>
      </c>
      <c r="C1227" s="43"/>
    </row>
    <row r="1228" spans="1:3">
      <c r="A1228" s="146" t="e">
        <f>$C$1&amp;".E30A.TR_FNDS.RE_MRTG_LNS_NRES.."</f>
        <v>#N/A</v>
      </c>
      <c r="B1228" s="43">
        <f>ROUND(PAGE9!$I$17,5)</f>
        <v>0</v>
      </c>
      <c r="C1228" s="43"/>
    </row>
    <row r="1229" spans="1:3">
      <c r="A1229" s="146" t="e">
        <f>$C$1&amp;".E30A.TR_FNDS.RE_MRTG_LNS_RES.."</f>
        <v>#N/A</v>
      </c>
      <c r="B1229" s="43">
        <f>ROUND(PAGE9!$I$15,5)</f>
        <v>0</v>
      </c>
      <c r="C1229" s="43"/>
    </row>
    <row r="1230" spans="1:3">
      <c r="A1230" s="146" t="e">
        <f>$C$1&amp;".E30A.TR_FNDS.RE_MRTG_LNS_TTL.."</f>
        <v>#N/A</v>
      </c>
      <c r="B1230" s="43">
        <f>ROUND(PAGE9!$I$13,5)</f>
        <v>0</v>
      </c>
      <c r="C1230" s="43"/>
    </row>
  </sheetData>
  <sheetProtection algorithmName="SHA-512" hashValue="B0cosT+B6Eu17wAjS5cFQf9DNatNxVLBlMnMwzis2euY6movBN0k+3JOGRj0bVr7y5m9SUKaVTv+jtJV3mOcQQ==" saltValue="DDky3E8n5imjUuee9cC2UA==" spinCount="100000" sheet="1" objects="1" scenarios="1" select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G1253"/>
  <sheetViews>
    <sheetView zoomScaleNormal="100" workbookViewId="0">
      <selection activeCell="I17" sqref="I17"/>
    </sheetView>
  </sheetViews>
  <sheetFormatPr defaultColWidth="9.140625" defaultRowHeight="12.75"/>
  <cols>
    <col min="1" max="1" width="64.85546875" style="146" customWidth="1"/>
    <col min="2" max="2" width="7.85546875" style="148" customWidth="1"/>
    <col min="3" max="3" width="9.42578125" style="149" customWidth="1"/>
    <col min="4" max="16384" width="9.140625" style="43"/>
  </cols>
  <sheetData>
    <row r="1" spans="1:4">
      <c r="A1" s="146" t="s">
        <v>157</v>
      </c>
      <c r="B1" s="62" t="s">
        <v>117</v>
      </c>
      <c r="C1" s="62" t="e">
        <f>VLOOKUP('COVER PAGE'!C7,Controls!$B$4:$C$28,2,FALSE)</f>
        <v>#N/A</v>
      </c>
      <c r="D1" s="62" t="s">
        <v>158</v>
      </c>
    </row>
    <row r="2" spans="1:4">
      <c r="A2" s="147">
        <f>VLOOKUP('COVER PAGE'!F9,Controls!$H$4:$I$147,2,FALSE)</f>
        <v>9</v>
      </c>
    </row>
    <row r="3" spans="1:4">
      <c r="A3" s="147">
        <f>PAGE1!$C$16</f>
        <v>24</v>
      </c>
    </row>
    <row r="4" spans="1:4" ht="12" customHeight="1">
      <c r="A4" s="150" t="s">
        <v>159</v>
      </c>
      <c r="B4" s="151" t="s">
        <v>115</v>
      </c>
      <c r="C4" s="151" t="s">
        <v>116</v>
      </c>
    </row>
    <row r="5" spans="1:4">
      <c r="A5" s="146" t="e">
        <f>$C$1&amp;".E30A.REM.PBSEC.APPR.LT450.."</f>
        <v>#N/A</v>
      </c>
      <c r="B5" s="43">
        <f>ROUND(PAGE1!$G$26,5)</f>
        <v>0</v>
      </c>
      <c r="C5" s="43">
        <f>ROUND(PAGE1!$I$26,5)</f>
        <v>0</v>
      </c>
    </row>
    <row r="6" spans="1:4">
      <c r="A6" s="146" t="e">
        <f>$C$1&amp;".E30A.REM.PBSEC.DISB.LT450.."</f>
        <v>#N/A</v>
      </c>
      <c r="B6" s="43">
        <f>ROUND(PAGE1!$K$26,5)</f>
        <v>0</v>
      </c>
      <c r="C6" s="43">
        <f>ROUND(PAGE1!$M$26,5)</f>
        <v>0</v>
      </c>
    </row>
    <row r="7" spans="1:4">
      <c r="A7" s="146" t="e">
        <f>$C$1&amp;".E30A.REM.PBSEC.OS.LT450.."</f>
        <v>#N/A</v>
      </c>
      <c r="B7" s="43">
        <f>ROUND(PAGE1!$O$26,5)</f>
        <v>0</v>
      </c>
      <c r="C7" s="43">
        <f>ROUND(PAGE1!$Q$26,5)</f>
        <v>0</v>
      </c>
    </row>
    <row r="8" spans="1:4">
      <c r="A8" s="146" t="e">
        <f>$C$1&amp;".E30A.REM.PBSEC.APPR.450TO750.."</f>
        <v>#N/A</v>
      </c>
      <c r="B8" s="43">
        <f>ROUND(PAGE1!$G$27,5)</f>
        <v>0</v>
      </c>
      <c r="C8" s="43">
        <f>ROUND(PAGE1!$I$27,5)</f>
        <v>0</v>
      </c>
    </row>
    <row r="9" spans="1:4">
      <c r="A9" s="146" t="e">
        <f>$C$1&amp;".E30A.REM.PBSEC.DISB.450TO750.."</f>
        <v>#N/A</v>
      </c>
      <c r="B9" s="43">
        <f>ROUND(PAGE1!$K$27,5)</f>
        <v>0</v>
      </c>
      <c r="C9" s="43">
        <f>ROUND(PAGE1!$M$27,5)</f>
        <v>0</v>
      </c>
    </row>
    <row r="10" spans="1:4">
      <c r="A10" s="146" t="e">
        <f>$C$1&amp;".E30A.REM.PBSEC.OS.450TO750.."</f>
        <v>#N/A</v>
      </c>
      <c r="B10" s="43">
        <f>ROUND(PAGE1!$O$27,5)</f>
        <v>0</v>
      </c>
      <c r="C10" s="43">
        <f>ROUND(PAGE1!$Q$27,5)</f>
        <v>0</v>
      </c>
    </row>
    <row r="11" spans="1:4">
      <c r="A11" s="146" t="e">
        <f>$C$1&amp;".E30A.REM.PBSEC.APPR.750TO1000.."</f>
        <v>#N/A</v>
      </c>
      <c r="B11" s="43">
        <f>ROUND(PAGE1!$G$28,5)</f>
        <v>0</v>
      </c>
      <c r="C11" s="43">
        <f>ROUND(PAGE1!$I$28,5)</f>
        <v>0</v>
      </c>
    </row>
    <row r="12" spans="1:4">
      <c r="A12" s="146" t="e">
        <f>$C$1&amp;".E30A.REM.PBSEC.DISB.750TO1000.."</f>
        <v>#N/A</v>
      </c>
      <c r="B12" s="43">
        <f>ROUND(PAGE1!$K$28,5)</f>
        <v>0</v>
      </c>
      <c r="C12" s="43">
        <f>ROUND(PAGE1!$M$28,5)</f>
        <v>0</v>
      </c>
    </row>
    <row r="13" spans="1:4">
      <c r="A13" s="146" t="e">
        <f>$C$1&amp;".E30A.REM.PBSEC.OS.750TO1000.."</f>
        <v>#N/A</v>
      </c>
      <c r="B13" s="43">
        <f>ROUND(PAGE1!$O$28,5)</f>
        <v>0</v>
      </c>
      <c r="C13" s="43">
        <f>ROUND(PAGE1!$Q$28,5)</f>
        <v>0</v>
      </c>
    </row>
    <row r="14" spans="1:4">
      <c r="A14" s="146" t="e">
        <f>$C$1&amp;".E30A.REM.PBSEC.APPR.1000TO1250.."</f>
        <v>#N/A</v>
      </c>
      <c r="B14" s="43">
        <f>ROUND(PAGE1!$G$29,5)</f>
        <v>0</v>
      </c>
      <c r="C14" s="43">
        <f>ROUND(PAGE1!$I$29,5)</f>
        <v>0</v>
      </c>
    </row>
    <row r="15" spans="1:4">
      <c r="A15" s="146" t="e">
        <f>$C$1&amp;".E30A.REM.PBSEC.DISB.1000TO1250.."</f>
        <v>#N/A</v>
      </c>
      <c r="B15" s="43">
        <f>ROUND(PAGE1!$K$29,5)</f>
        <v>0</v>
      </c>
      <c r="C15" s="43">
        <f>ROUND(PAGE1!$M$29,5)</f>
        <v>0</v>
      </c>
    </row>
    <row r="16" spans="1:4">
      <c r="A16" s="146" t="e">
        <f>$C$1&amp;".E30A.REM.PBSEC.OS.1000TO1250.."</f>
        <v>#N/A</v>
      </c>
      <c r="B16" s="43">
        <f>ROUND(PAGE1!$O$29,5)</f>
        <v>0</v>
      </c>
      <c r="C16" s="43">
        <f>ROUND(PAGE1!$Q$29,5)</f>
        <v>0</v>
      </c>
    </row>
    <row r="17" spans="1:3">
      <c r="A17" s="146" t="e">
        <f>$C$1&amp;".E30A.REM.PBSEC.APPR.1250TO1500.."</f>
        <v>#N/A</v>
      </c>
      <c r="B17" s="43">
        <f>ROUND(PAGE1!$G$30,5)</f>
        <v>0</v>
      </c>
      <c r="C17" s="43">
        <f>ROUND(PAGE1!$I$30,5)</f>
        <v>0</v>
      </c>
    </row>
    <row r="18" spans="1:3">
      <c r="A18" s="146" t="e">
        <f>$C$1&amp;".E30A.REM.PBSEC.DISB.1250TO1500.."</f>
        <v>#N/A</v>
      </c>
      <c r="B18" s="43">
        <f>ROUND(PAGE1!$K$30,5)</f>
        <v>0</v>
      </c>
      <c r="C18" s="43">
        <f>ROUND(PAGE1!$M$30,5)</f>
        <v>0</v>
      </c>
    </row>
    <row r="19" spans="1:3">
      <c r="A19" s="146" t="e">
        <f>$C$1&amp;".E30A.REM.PBSEC.OS.1250TO1500.."</f>
        <v>#N/A</v>
      </c>
      <c r="B19" s="43">
        <f>ROUND(PAGE1!$O$30,5)</f>
        <v>0</v>
      </c>
      <c r="C19" s="43">
        <f>ROUND(PAGE1!$Q$30,5)</f>
        <v>0</v>
      </c>
    </row>
    <row r="20" spans="1:3">
      <c r="A20" s="146" t="e">
        <f>$C$1&amp;".E30A.REM.PBSEC.APPR.1500TO1750.."</f>
        <v>#N/A</v>
      </c>
      <c r="B20" s="43">
        <f>ROUND(PAGE1!$G$31,5)</f>
        <v>0</v>
      </c>
      <c r="C20" s="43">
        <f>ROUND(PAGE1!$I$31,5)</f>
        <v>0</v>
      </c>
    </row>
    <row r="21" spans="1:3">
      <c r="A21" s="146" t="e">
        <f>$C$1&amp;".E30A.REM.PBSEC.DISB.1500TO1750.."</f>
        <v>#N/A</v>
      </c>
      <c r="B21" s="43">
        <f>ROUND(PAGE1!$K$31,5)</f>
        <v>0</v>
      </c>
      <c r="C21" s="43">
        <f>ROUND(PAGE1!$M$31,5)</f>
        <v>0</v>
      </c>
    </row>
    <row r="22" spans="1:3">
      <c r="A22" s="146" t="e">
        <f>$C$1&amp;".E30A.REM.PBSEC.OS.1500TO1750.."</f>
        <v>#N/A</v>
      </c>
      <c r="B22" s="43">
        <f>ROUND(PAGE1!$O$31,5)</f>
        <v>0</v>
      </c>
      <c r="C22" s="43">
        <f>ROUND(PAGE1!$Q$31,5)</f>
        <v>0</v>
      </c>
    </row>
    <row r="23" spans="1:3">
      <c r="A23" s="146" t="e">
        <f>$C$1&amp;".E30A.REM.PBSEC.APPR.1750TO2000.."</f>
        <v>#N/A</v>
      </c>
      <c r="B23" s="43">
        <f>ROUND(PAGE1!$G$32,5)</f>
        <v>0</v>
      </c>
      <c r="C23" s="43">
        <f>ROUND(PAGE1!$I$32,5)</f>
        <v>0</v>
      </c>
    </row>
    <row r="24" spans="1:3">
      <c r="A24" s="146" t="e">
        <f>$C$1&amp;".E30A.REM.PBSEC.DISB.1750TO2000.."</f>
        <v>#N/A</v>
      </c>
      <c r="B24" s="43">
        <f>ROUND(PAGE1!$K$32,5)</f>
        <v>0</v>
      </c>
      <c r="C24" s="43">
        <f>ROUND(PAGE1!$M$32,5)</f>
        <v>0</v>
      </c>
    </row>
    <row r="25" spans="1:3">
      <c r="A25" s="146" t="e">
        <f>$C$1&amp;".E30A.REM.PBSEC.OS.1750TO2000.."</f>
        <v>#N/A</v>
      </c>
      <c r="B25" s="43">
        <f>ROUND(PAGE1!$O$32,5)</f>
        <v>0</v>
      </c>
      <c r="C25" s="43">
        <f>ROUND(PAGE1!$Q$32,5)</f>
        <v>0</v>
      </c>
    </row>
    <row r="26" spans="1:3">
      <c r="A26" s="146" t="e">
        <f>$C$1&amp;".E30A.REM.PBSEC.APPR.2000TO2250.."</f>
        <v>#N/A</v>
      </c>
      <c r="B26" s="43">
        <f>ROUND(PAGE1!$G$33,5)</f>
        <v>0</v>
      </c>
      <c r="C26" s="43">
        <f>ROUND(PAGE1!$I$33,5)</f>
        <v>0</v>
      </c>
    </row>
    <row r="27" spans="1:3">
      <c r="A27" s="146" t="e">
        <f>$C$1&amp;".E30A.REM.PBSEC.DISB.2000TO2250.."</f>
        <v>#N/A</v>
      </c>
      <c r="B27" s="43">
        <f>ROUND(PAGE1!$K$33,5)</f>
        <v>0</v>
      </c>
      <c r="C27" s="43">
        <f>ROUND(PAGE1!$M$33,5)</f>
        <v>0</v>
      </c>
    </row>
    <row r="28" spans="1:3">
      <c r="A28" s="146" t="e">
        <f>$C$1&amp;".E30A.REM.PBSEC.OS.2000TO2250.."</f>
        <v>#N/A</v>
      </c>
      <c r="B28" s="43">
        <f>ROUND(PAGE1!$O$33,5)</f>
        <v>0</v>
      </c>
      <c r="C28" s="43">
        <f>ROUND(PAGE1!$Q$33,5)</f>
        <v>0</v>
      </c>
    </row>
    <row r="29" spans="1:3">
      <c r="A29" s="146" t="e">
        <f>$C$1&amp;".E30A.REM.PBSEC.APPR.2250TO2500.."</f>
        <v>#N/A</v>
      </c>
      <c r="B29" s="43">
        <f>ROUND(PAGE1!$G$34,5)</f>
        <v>0</v>
      </c>
      <c r="C29" s="43">
        <f>ROUND(PAGE1!$I$34,5)</f>
        <v>0</v>
      </c>
    </row>
    <row r="30" spans="1:3">
      <c r="A30" s="146" t="e">
        <f>$C$1&amp;".E30A.REM.PBSEC.DISB.2250TO2500.."</f>
        <v>#N/A</v>
      </c>
      <c r="B30" s="43">
        <f>ROUND(PAGE1!$K$34,5)</f>
        <v>0</v>
      </c>
      <c r="C30" s="43">
        <f>ROUND(PAGE1!$M$34,5)</f>
        <v>0</v>
      </c>
    </row>
    <row r="31" spans="1:3">
      <c r="A31" s="146" t="e">
        <f>$C$1&amp;".E30A.REM.PBSEC.OS.2250TO2500.."</f>
        <v>#N/A</v>
      </c>
      <c r="B31" s="43">
        <f>ROUND(PAGE1!$O$34,5)</f>
        <v>0</v>
      </c>
      <c r="C31" s="43">
        <f>ROUND(PAGE1!$Q$34,5)</f>
        <v>0</v>
      </c>
    </row>
    <row r="32" spans="1:3">
      <c r="A32" s="146" t="e">
        <f>$C$1&amp;".E30A.REM.PBSEC.APPR.2500TO2750.."</f>
        <v>#N/A</v>
      </c>
      <c r="B32" s="43">
        <f>ROUND(PAGE1!$G$35,5)</f>
        <v>0</v>
      </c>
      <c r="C32" s="43">
        <f>ROUND(PAGE1!$I$35,5)</f>
        <v>0</v>
      </c>
    </row>
    <row r="33" spans="1:3">
      <c r="A33" s="146" t="e">
        <f>$C$1&amp;".E30A.REM.PBSEC.DISB.2500TO2750.."</f>
        <v>#N/A</v>
      </c>
      <c r="B33" s="43">
        <f>ROUND(PAGE1!$K$35,5)</f>
        <v>0</v>
      </c>
      <c r="C33" s="43">
        <f>ROUND(PAGE1!$M$35,5)</f>
        <v>0</v>
      </c>
    </row>
    <row r="34" spans="1:3">
      <c r="A34" s="146" t="e">
        <f>$C$1&amp;".E30A.REM.PBSEC.OS.2500TO2750.."</f>
        <v>#N/A</v>
      </c>
      <c r="B34" s="43">
        <f>ROUND(PAGE1!$O$35,5)</f>
        <v>0</v>
      </c>
      <c r="C34" s="43">
        <f>ROUND(PAGE1!$Q$35,5)</f>
        <v>0</v>
      </c>
    </row>
    <row r="35" spans="1:3">
      <c r="A35" s="146" t="e">
        <f>$C$1&amp;".E30A.REM.PBSEC.APPR.2750TO3000.."</f>
        <v>#N/A</v>
      </c>
      <c r="B35" s="43">
        <f>ROUND(PAGE1!$G$36,5)</f>
        <v>0</v>
      </c>
      <c r="C35" s="43">
        <f>ROUND(PAGE1!$I$36,5)</f>
        <v>0</v>
      </c>
    </row>
    <row r="36" spans="1:3">
      <c r="A36" s="146" t="e">
        <f>$C$1&amp;".E30A.REM.PBSEC.DISB.2750TO3000.."</f>
        <v>#N/A</v>
      </c>
      <c r="B36" s="43">
        <f>ROUND(PAGE1!$K$36,5)</f>
        <v>0</v>
      </c>
      <c r="C36" s="43">
        <f>ROUND(PAGE1!$M$36,5)</f>
        <v>0</v>
      </c>
    </row>
    <row r="37" spans="1:3">
      <c r="A37" s="146" t="e">
        <f>$C$1&amp;".E30A.REM.PBSEC.OS.2750TO3000.."</f>
        <v>#N/A</v>
      </c>
      <c r="B37" s="43">
        <f>ROUND(PAGE1!$O$36,5)</f>
        <v>0</v>
      </c>
      <c r="C37" s="43">
        <f>ROUND(PAGE1!$Q$36,5)</f>
        <v>0</v>
      </c>
    </row>
    <row r="38" spans="1:3">
      <c r="A38" s="146" t="e">
        <f>$C$1&amp;".E30A.REM.PBSEC.APPR.OVR3000.."</f>
        <v>#N/A</v>
      </c>
      <c r="B38" s="43">
        <f>ROUND(PAGE1!$G$37,5)</f>
        <v>0</v>
      </c>
      <c r="C38" s="43">
        <f>ROUND(PAGE1!$I$37,5)</f>
        <v>0</v>
      </c>
    </row>
    <row r="39" spans="1:3">
      <c r="A39" s="146" t="e">
        <f>$C$1&amp;".E30A.REM.PBSEC.DISB.OVR3000.."</f>
        <v>#N/A</v>
      </c>
      <c r="B39" s="43">
        <f>ROUND(PAGE1!$K$37,5)</f>
        <v>0</v>
      </c>
      <c r="C39" s="43">
        <f>ROUND(PAGE1!$M$37,5)</f>
        <v>0</v>
      </c>
    </row>
    <row r="40" spans="1:3">
      <c r="A40" s="146" t="e">
        <f>$C$1&amp;".E30A.REM.PBSEC.OS.OVR3000.."</f>
        <v>#N/A</v>
      </c>
      <c r="B40" s="43">
        <f>ROUND(PAGE1!$O$37,5)</f>
        <v>0</v>
      </c>
      <c r="C40" s="43">
        <f>ROUND(PAGE1!$Q$37,5)</f>
        <v>0</v>
      </c>
    </row>
    <row r="41" spans="1:3">
      <c r="A41" s="152" t="e">
        <f>$C$1&amp;".E30A.REM.PBSEC.APPR.TTL.."</f>
        <v>#N/A</v>
      </c>
      <c r="B41" s="43">
        <f>ROUND(PAGE1!$G$25,5)</f>
        <v>0</v>
      </c>
      <c r="C41" s="43">
        <f>ROUND(PAGE1!$I$25,5)</f>
        <v>0</v>
      </c>
    </row>
    <row r="42" spans="1:3">
      <c r="A42" s="152" t="e">
        <f>$C$1&amp;".E30A.REM.PBSEC.DISB.TTL.."</f>
        <v>#N/A</v>
      </c>
      <c r="B42" s="43">
        <f>ROUND(PAGE1!$K$25,5)</f>
        <v>0</v>
      </c>
      <c r="C42" s="43">
        <f>ROUND(PAGE1!$M$25,5)</f>
        <v>0</v>
      </c>
    </row>
    <row r="43" spans="1:3">
      <c r="A43" s="152" t="e">
        <f>$C$1&amp;".E30A.REM.PBSEC.OS.TTL.."</f>
        <v>#N/A</v>
      </c>
      <c r="B43" s="43">
        <f>ROUND(PAGE1!$O$25,5)</f>
        <v>0</v>
      </c>
      <c r="C43" s="43">
        <f>ROUND(PAGE1!$Q$25,5)</f>
        <v>0</v>
      </c>
    </row>
    <row r="44" spans="1:3">
      <c r="A44" s="146" t="e">
        <f>$C$1&amp;".E30A.REM.PVFIN.APPR.LT450.."</f>
        <v>#N/A</v>
      </c>
      <c r="B44" s="43">
        <f>ROUND(PAGE1!$G$41,5)</f>
        <v>0</v>
      </c>
      <c r="C44" s="43">
        <f>ROUND(PAGE1!$I$41,5)</f>
        <v>0</v>
      </c>
    </row>
    <row r="45" spans="1:3">
      <c r="A45" s="146" t="e">
        <f>$C$1&amp;".E30A.REM.PVFIN.DISB.LT450.."</f>
        <v>#N/A</v>
      </c>
      <c r="B45" s="43">
        <f>ROUND(PAGE1!$K$41,5)</f>
        <v>0</v>
      </c>
      <c r="C45" s="43">
        <f>ROUND(PAGE1!$M$41,5)</f>
        <v>0</v>
      </c>
    </row>
    <row r="46" spans="1:3">
      <c r="A46" s="146" t="e">
        <f>$C$1&amp;".E30A.REM.PVFIN.OS.LT450.."</f>
        <v>#N/A</v>
      </c>
      <c r="B46" s="43">
        <f>ROUND(PAGE1!$O$41,5)</f>
        <v>0</v>
      </c>
      <c r="C46" s="43">
        <f>ROUND(PAGE1!$Q$41,5)</f>
        <v>0</v>
      </c>
    </row>
    <row r="47" spans="1:3">
      <c r="A47" s="146" t="e">
        <f>$C$1&amp;".E30A.REM.PVFIN.APPR.450TO750.."</f>
        <v>#N/A</v>
      </c>
      <c r="B47" s="43">
        <f>ROUND(PAGE1!$G$42,5)</f>
        <v>0</v>
      </c>
      <c r="C47" s="43">
        <f>ROUND(PAGE1!$I$42,5)</f>
        <v>0</v>
      </c>
    </row>
    <row r="48" spans="1:3">
      <c r="A48" s="146" t="e">
        <f>$C$1&amp;".E30A.REM.PVFIN.DISB.450TO750.."</f>
        <v>#N/A</v>
      </c>
      <c r="B48" s="43">
        <f>ROUND(PAGE1!$K$42,5)</f>
        <v>0</v>
      </c>
      <c r="C48" s="43">
        <f>ROUND(PAGE1!$M$42,5)</f>
        <v>0</v>
      </c>
    </row>
    <row r="49" spans="1:3">
      <c r="A49" s="146" t="e">
        <f>$C$1&amp;".E30A.REM.PVFIN.OS.450TO750.."</f>
        <v>#N/A</v>
      </c>
      <c r="B49" s="43">
        <f>ROUND(PAGE1!$O$42,5)</f>
        <v>0</v>
      </c>
      <c r="C49" s="43">
        <f>ROUND(PAGE1!$Q$42,5)</f>
        <v>0</v>
      </c>
    </row>
    <row r="50" spans="1:3">
      <c r="A50" s="146" t="e">
        <f>$C$1&amp;".E30A.REM.PVFIN.APPR.750TO1000.."</f>
        <v>#N/A</v>
      </c>
      <c r="B50" s="43">
        <f>ROUND(PAGE1!$G$43,5)</f>
        <v>0</v>
      </c>
      <c r="C50" s="43">
        <f>ROUND(PAGE1!$I$43,5)</f>
        <v>0</v>
      </c>
    </row>
    <row r="51" spans="1:3">
      <c r="A51" s="146" t="e">
        <f>$C$1&amp;".E30A.REM.PVFIN.DISB.750TO1000.."</f>
        <v>#N/A</v>
      </c>
      <c r="B51" s="43">
        <f>ROUND(PAGE1!$K$43,5)</f>
        <v>0</v>
      </c>
      <c r="C51" s="43">
        <f>ROUND(PAGE1!$M$43,5)</f>
        <v>0</v>
      </c>
    </row>
    <row r="52" spans="1:3">
      <c r="A52" s="146" t="e">
        <f>$C$1&amp;".E30A.REM.PVFIN.OS.750TO1000.."</f>
        <v>#N/A</v>
      </c>
      <c r="B52" s="43">
        <f>ROUND(PAGE1!$O$43,5)</f>
        <v>0</v>
      </c>
      <c r="C52" s="43">
        <f>ROUND(PAGE1!$Q$43,5)</f>
        <v>0</v>
      </c>
    </row>
    <row r="53" spans="1:3">
      <c r="A53" s="146" t="e">
        <f>$C$1&amp;".E30A.REM.PVFIN.APPR.1000TO1250.."</f>
        <v>#N/A</v>
      </c>
      <c r="B53" s="43">
        <f>ROUND(PAGE1!$G$44,5)</f>
        <v>0</v>
      </c>
      <c r="C53" s="43">
        <f>ROUND(PAGE1!$I$44,5)</f>
        <v>0</v>
      </c>
    </row>
    <row r="54" spans="1:3">
      <c r="A54" s="146" t="e">
        <f>$C$1&amp;".E30A.REM.PVFIN.DISB.1000TO1250.."</f>
        <v>#N/A</v>
      </c>
      <c r="B54" s="43">
        <f>ROUND(PAGE1!$K$44,5)</f>
        <v>0</v>
      </c>
      <c r="C54" s="43">
        <f>ROUND(PAGE1!$M$44,5)</f>
        <v>0</v>
      </c>
    </row>
    <row r="55" spans="1:3">
      <c r="A55" s="146" t="e">
        <f>$C$1&amp;".E30A.REM.PVFIN.OS.1000TO1250.."</f>
        <v>#N/A</v>
      </c>
      <c r="B55" s="43">
        <f>ROUND(PAGE1!$O$44,5)</f>
        <v>0</v>
      </c>
      <c r="C55" s="43">
        <f>ROUND(PAGE1!$Q$44,5)</f>
        <v>0</v>
      </c>
    </row>
    <row r="56" spans="1:3">
      <c r="A56" s="146" t="e">
        <f>$C$1&amp;".E30A.REM.PVFIN.APPR.1250TO1500.."</f>
        <v>#N/A</v>
      </c>
      <c r="B56" s="43">
        <f>ROUND(PAGE1!$G$45,5)</f>
        <v>0</v>
      </c>
      <c r="C56" s="43">
        <f>ROUND(PAGE1!$I$45,5)</f>
        <v>0</v>
      </c>
    </row>
    <row r="57" spans="1:3">
      <c r="A57" s="146" t="e">
        <f>$C$1&amp;".E30A.REM.PVFIN.DISB.1250TO1500.."</f>
        <v>#N/A</v>
      </c>
      <c r="B57" s="43">
        <f>ROUND(PAGE1!$K$45,5)</f>
        <v>0</v>
      </c>
      <c r="C57" s="43">
        <f>ROUND(PAGE1!$M$45,5)</f>
        <v>0</v>
      </c>
    </row>
    <row r="58" spans="1:3">
      <c r="A58" s="146" t="e">
        <f>$C$1&amp;".E30A.REM.PVFIN.OS.1250TO1500.."</f>
        <v>#N/A</v>
      </c>
      <c r="B58" s="43">
        <f>ROUND(PAGE1!$O$45,5)</f>
        <v>0</v>
      </c>
      <c r="C58" s="43">
        <f>ROUND(PAGE1!$Q$45,5)</f>
        <v>0</v>
      </c>
    </row>
    <row r="59" spans="1:3">
      <c r="A59" s="146" t="e">
        <f>$C$1&amp;".E30A.REM.PVFIN.APPR.1500TO1750.."</f>
        <v>#N/A</v>
      </c>
      <c r="B59" s="43">
        <f>ROUND(PAGE1!$G$46,5)</f>
        <v>0</v>
      </c>
      <c r="C59" s="43">
        <f>ROUND(PAGE1!$I$46,5)</f>
        <v>0</v>
      </c>
    </row>
    <row r="60" spans="1:3">
      <c r="A60" s="146" t="e">
        <f>$C$1&amp;".E30A.REM.PVFIN.DISB.1500TO1750.."</f>
        <v>#N/A</v>
      </c>
      <c r="B60" s="43">
        <f>ROUND(PAGE1!$K$46,5)</f>
        <v>0</v>
      </c>
      <c r="C60" s="43">
        <f>ROUND(PAGE1!$M$46,5)</f>
        <v>0</v>
      </c>
    </row>
    <row r="61" spans="1:3">
      <c r="A61" s="146" t="e">
        <f>$C$1&amp;".E30A.REM.PVFIN.OS.1500TO1750.."</f>
        <v>#N/A</v>
      </c>
      <c r="B61" s="43">
        <f>ROUND(PAGE1!$O$46,5)</f>
        <v>0</v>
      </c>
      <c r="C61" s="43">
        <f>ROUND(PAGE1!$Q$46,5)</f>
        <v>0</v>
      </c>
    </row>
    <row r="62" spans="1:3">
      <c r="A62" s="146" t="e">
        <f>$C$1&amp;".E30A.REM.PVFIN.APPR.1750TO2000.."</f>
        <v>#N/A</v>
      </c>
      <c r="B62" s="43">
        <f>ROUND(PAGE1!$G$47,5)</f>
        <v>0</v>
      </c>
      <c r="C62" s="43">
        <f>ROUND(PAGE1!$I$47,5)</f>
        <v>0</v>
      </c>
    </row>
    <row r="63" spans="1:3">
      <c r="A63" s="146" t="e">
        <f>$C$1&amp;".E30A.REM.PVFIN.DISB.1750TO2000.."</f>
        <v>#N/A</v>
      </c>
      <c r="B63" s="43">
        <f>ROUND(PAGE1!$K$47,5)</f>
        <v>0</v>
      </c>
      <c r="C63" s="43">
        <f>ROUND(PAGE1!$M$47,5)</f>
        <v>0</v>
      </c>
    </row>
    <row r="64" spans="1:3">
      <c r="A64" s="146" t="e">
        <f>$C$1&amp;".E30A.REM.PVFIN.OS.1750TO2000.."</f>
        <v>#N/A</v>
      </c>
      <c r="B64" s="43">
        <f>ROUND(PAGE1!$O$47,5)</f>
        <v>0</v>
      </c>
      <c r="C64" s="43">
        <f>ROUND(PAGE1!$Q$47,5)</f>
        <v>0</v>
      </c>
    </row>
    <row r="65" spans="1:3">
      <c r="A65" s="146" t="e">
        <f>$C$1&amp;".E30A.REM.PVFIN.APPR.2000TO2250.."</f>
        <v>#N/A</v>
      </c>
      <c r="B65" s="43">
        <f>ROUND(PAGE1!$G$48,5)</f>
        <v>0</v>
      </c>
      <c r="C65" s="43">
        <f>ROUND(PAGE1!$I$48,5)</f>
        <v>0</v>
      </c>
    </row>
    <row r="66" spans="1:3">
      <c r="A66" s="146" t="e">
        <f>$C$1&amp;".E30A.REM.PVFIN.DISB.2000TO2250.."</f>
        <v>#N/A</v>
      </c>
      <c r="B66" s="43">
        <f>ROUND(PAGE1!$K$48,5)</f>
        <v>0</v>
      </c>
      <c r="C66" s="43">
        <f>ROUND(PAGE1!$M$48,5)</f>
        <v>0</v>
      </c>
    </row>
    <row r="67" spans="1:3">
      <c r="A67" s="146" t="e">
        <f>$C$1&amp;".E30A.REM.PVFIN.OS.2000TO2250.."</f>
        <v>#N/A</v>
      </c>
      <c r="B67" s="43">
        <f>ROUND(PAGE1!$O$48,5)</f>
        <v>0</v>
      </c>
      <c r="C67" s="43">
        <f>ROUND(PAGE1!$Q$48,5)</f>
        <v>0</v>
      </c>
    </row>
    <row r="68" spans="1:3">
      <c r="A68" s="146" t="e">
        <f>$C$1&amp;".E30A.REM.PVFIN.APPR.2250TO2500.."</f>
        <v>#N/A</v>
      </c>
      <c r="B68" s="43">
        <f>ROUND(PAGE1!$G$49,5)</f>
        <v>0</v>
      </c>
      <c r="C68" s="43">
        <f>ROUND(PAGE1!$I$49,5)</f>
        <v>0</v>
      </c>
    </row>
    <row r="69" spans="1:3">
      <c r="A69" s="146" t="e">
        <f>$C$1&amp;".E30A.REM.PVFIN.DISB.2250TO2500.."</f>
        <v>#N/A</v>
      </c>
      <c r="B69" s="43">
        <f>ROUND(PAGE1!$K$49,5)</f>
        <v>0</v>
      </c>
      <c r="C69" s="43">
        <f>ROUND(PAGE1!$M$49,5)</f>
        <v>0</v>
      </c>
    </row>
    <row r="70" spans="1:3">
      <c r="A70" s="146" t="e">
        <f>$C$1&amp;".E30A.REM.PVFIN.OS.2250TO2500.."</f>
        <v>#N/A</v>
      </c>
      <c r="B70" s="43">
        <f>ROUND(PAGE1!$O$49,5)</f>
        <v>0</v>
      </c>
      <c r="C70" s="43">
        <f>ROUND(PAGE1!$Q$49,5)</f>
        <v>0</v>
      </c>
    </row>
    <row r="71" spans="1:3">
      <c r="A71" s="146" t="e">
        <f>$C$1&amp;".E30A.REM.PVFIN.APPR.2500TO2750.."</f>
        <v>#N/A</v>
      </c>
      <c r="B71" s="43">
        <f>ROUND(PAGE1!$G$50,5)</f>
        <v>0</v>
      </c>
      <c r="C71" s="43">
        <f>ROUND(PAGE1!$I$50,5)</f>
        <v>0</v>
      </c>
    </row>
    <row r="72" spans="1:3">
      <c r="A72" s="146" t="e">
        <f>$C$1&amp;".E30A.REM.PVFIN.DISB.2500TO2750.."</f>
        <v>#N/A</v>
      </c>
      <c r="B72" s="43">
        <f>ROUND(PAGE1!$K$50,5)</f>
        <v>0</v>
      </c>
      <c r="C72" s="43">
        <f>ROUND(PAGE1!$M$50,5)</f>
        <v>0</v>
      </c>
    </row>
    <row r="73" spans="1:3">
      <c r="A73" s="146" t="e">
        <f>$C$1&amp;".E30A.REM.PVFIN.OS.2500TO2750.."</f>
        <v>#N/A</v>
      </c>
      <c r="B73" s="43">
        <f>ROUND(PAGE1!$O$50,5)</f>
        <v>0</v>
      </c>
      <c r="C73" s="43">
        <f>ROUND(PAGE1!$Q$50,5)</f>
        <v>0</v>
      </c>
    </row>
    <row r="74" spans="1:3">
      <c r="A74" s="146" t="e">
        <f>$C$1&amp;".E30A.REM.PVFIN.APPR.2750TO3000.."</f>
        <v>#N/A</v>
      </c>
      <c r="B74" s="43">
        <f>ROUND(PAGE1!$G$51,5)</f>
        <v>0</v>
      </c>
      <c r="C74" s="43">
        <f>ROUND(PAGE1!$I$51,5)</f>
        <v>0</v>
      </c>
    </row>
    <row r="75" spans="1:3">
      <c r="A75" s="146" t="e">
        <f>$C$1&amp;".E30A.REM.PVFIN.DISB.2750TO3000.."</f>
        <v>#N/A</v>
      </c>
      <c r="B75" s="43">
        <f>ROUND(PAGE1!$K$51,5)</f>
        <v>0</v>
      </c>
      <c r="C75" s="43">
        <f>ROUND(PAGE1!$M$51,5)</f>
        <v>0</v>
      </c>
    </row>
    <row r="76" spans="1:3">
      <c r="A76" s="146" t="e">
        <f>$C$1&amp;".E30A.REM.PVFIN.OS.2750TO3000.."</f>
        <v>#N/A</v>
      </c>
      <c r="B76" s="43">
        <f>ROUND(PAGE1!$O$51,5)</f>
        <v>0</v>
      </c>
      <c r="C76" s="43">
        <f>ROUND(PAGE1!$Q$51,5)</f>
        <v>0</v>
      </c>
    </row>
    <row r="77" spans="1:3">
      <c r="A77" s="146" t="e">
        <f>$C$1&amp;".E30A.REM.PVFIN.APPR.OVR3000.."</f>
        <v>#N/A</v>
      </c>
      <c r="B77" s="43">
        <f>ROUND(PAGE1!$G$52,5)</f>
        <v>0</v>
      </c>
      <c r="C77" s="43">
        <f>ROUND(PAGE1!$I$52,5)</f>
        <v>0</v>
      </c>
    </row>
    <row r="78" spans="1:3">
      <c r="A78" s="146" t="e">
        <f>$C$1&amp;".E30A.REM.PVFIN.DISB.OVR3000.."</f>
        <v>#N/A</v>
      </c>
      <c r="B78" s="43">
        <f>ROUND(PAGE1!$K$52,5)</f>
        <v>0</v>
      </c>
      <c r="C78" s="43">
        <f>ROUND(PAGE1!$M$52,5)</f>
        <v>0</v>
      </c>
    </row>
    <row r="79" spans="1:3">
      <c r="A79" s="146" t="e">
        <f>$C$1&amp;".E30A.REM.PVFIN.OS.OVR3000.."</f>
        <v>#N/A</v>
      </c>
      <c r="B79" s="43">
        <f>ROUND(PAGE1!$O$52,5)</f>
        <v>0</v>
      </c>
      <c r="C79" s="43">
        <f>ROUND(PAGE1!$Q$52,5)</f>
        <v>0</v>
      </c>
    </row>
    <row r="80" spans="1:3">
      <c r="A80" s="152" t="e">
        <f>$C$1&amp;".E30A.REM.PVFIN.APPR.TTL.."</f>
        <v>#N/A</v>
      </c>
      <c r="B80" s="43">
        <f>ROUND(PAGE1!$G$40,5)</f>
        <v>0</v>
      </c>
      <c r="C80" s="43">
        <f>ROUND(PAGE1!$I$40,5)</f>
        <v>0</v>
      </c>
    </row>
    <row r="81" spans="1:3">
      <c r="A81" s="152" t="e">
        <f>$C$1&amp;".E30A.REM.PVFIN.DISB.TTL.."</f>
        <v>#N/A</v>
      </c>
      <c r="B81" s="43">
        <f>ROUND(PAGE1!$K$40,5)</f>
        <v>0</v>
      </c>
      <c r="C81" s="43">
        <f>ROUND(PAGE1!$M$40,5)</f>
        <v>0</v>
      </c>
    </row>
    <row r="82" spans="1:3">
      <c r="A82" s="152" t="e">
        <f>$C$1&amp;".E30A.REM.PVFIN.OS.TTL.."</f>
        <v>#N/A</v>
      </c>
      <c r="B82" s="43">
        <f>ROUND(PAGE1!$O$40,5)</f>
        <v>0</v>
      </c>
      <c r="C82" s="43">
        <f>ROUND(PAGE1!$Q$40,5)</f>
        <v>0</v>
      </c>
    </row>
    <row r="83" spans="1:3">
      <c r="A83" s="146" t="e">
        <f>$C$1&amp;".E30A.REM.IBUS.APPR.LT450.."</f>
        <v>#N/A</v>
      </c>
      <c r="B83" s="43">
        <f>ROUND(PAGE1!$G$56,5)</f>
        <v>0</v>
      </c>
      <c r="C83" s="43">
        <f>ROUND(PAGE1!$I$56,5)</f>
        <v>0</v>
      </c>
    </row>
    <row r="84" spans="1:3">
      <c r="A84" s="146" t="e">
        <f>$C$1&amp;".E30A.REM.IBUS.DISB.LT450.."</f>
        <v>#N/A</v>
      </c>
      <c r="B84" s="43">
        <f>ROUND(PAGE1!$K$56,5)</f>
        <v>0</v>
      </c>
      <c r="C84" s="43">
        <f>ROUND(PAGE1!$M$56,5)</f>
        <v>0</v>
      </c>
    </row>
    <row r="85" spans="1:3">
      <c r="A85" s="146" t="e">
        <f>$C$1&amp;".E30A.REM.IBUS.OS.LT450.."</f>
        <v>#N/A</v>
      </c>
      <c r="B85" s="43">
        <f>ROUND(PAGE1!$O$56,5)</f>
        <v>0</v>
      </c>
      <c r="C85" s="43">
        <f>ROUND(PAGE1!$Q$56,5)</f>
        <v>0</v>
      </c>
    </row>
    <row r="86" spans="1:3">
      <c r="A86" s="146" t="e">
        <f>$C$1&amp;".E30A.REM.IBUS.APPR.450TO750.."</f>
        <v>#N/A</v>
      </c>
      <c r="B86" s="43">
        <f>ROUND(PAGE1!$G$57,5)</f>
        <v>0</v>
      </c>
      <c r="C86" s="43">
        <f>ROUND(PAGE1!$I$57,5)</f>
        <v>0</v>
      </c>
    </row>
    <row r="87" spans="1:3">
      <c r="A87" s="146" t="e">
        <f>$C$1&amp;".E30A.REM.IBUS.DISB.450TO750.."</f>
        <v>#N/A</v>
      </c>
      <c r="B87" s="43">
        <f>ROUND(PAGE1!$K$57,5)</f>
        <v>0</v>
      </c>
      <c r="C87" s="43">
        <f>ROUND(PAGE1!$M$57,5)</f>
        <v>0</v>
      </c>
    </row>
    <row r="88" spans="1:3">
      <c r="A88" s="146" t="e">
        <f>$C$1&amp;".E30A.REM.IBUS.OS.450TO750.."</f>
        <v>#N/A</v>
      </c>
      <c r="B88" s="43">
        <f>ROUND(PAGE1!$O$57,5)</f>
        <v>0</v>
      </c>
      <c r="C88" s="43">
        <f>ROUND(PAGE1!$Q$57,5)</f>
        <v>0</v>
      </c>
    </row>
    <row r="89" spans="1:3">
      <c r="A89" s="146" t="e">
        <f>$C$1&amp;".E30A.REM.IBUS.APPR.750TO1000.."</f>
        <v>#N/A</v>
      </c>
      <c r="B89" s="43">
        <f>ROUND(PAGE1!$G$58,5)</f>
        <v>0</v>
      </c>
      <c r="C89" s="43">
        <f>ROUND(PAGE1!$I$58,5)</f>
        <v>0</v>
      </c>
    </row>
    <row r="90" spans="1:3">
      <c r="A90" s="146" t="e">
        <f>$C$1&amp;".E30A.REM.IBUS.DISB.750TO1000.."</f>
        <v>#N/A</v>
      </c>
      <c r="B90" s="43">
        <f>ROUND(PAGE1!$K$58,5)</f>
        <v>0</v>
      </c>
      <c r="C90" s="43">
        <f>ROUND(PAGE1!$M$58,5)</f>
        <v>0</v>
      </c>
    </row>
    <row r="91" spans="1:3">
      <c r="A91" s="146" t="e">
        <f>$C$1&amp;".E30A.REM.IBUS.OS.750TO1000.."</f>
        <v>#N/A</v>
      </c>
      <c r="B91" s="43">
        <f>ROUND(PAGE1!$O$58,5)</f>
        <v>0</v>
      </c>
      <c r="C91" s="43">
        <f>ROUND(PAGE1!$Q$58,5)</f>
        <v>0</v>
      </c>
    </row>
    <row r="92" spans="1:3">
      <c r="A92" s="146" t="e">
        <f>$C$1&amp;".E30A.REM.IBUS.APPR.1000TO1250.."</f>
        <v>#N/A</v>
      </c>
      <c r="B92" s="43">
        <f>ROUND(PAGE1!$G$59,5)</f>
        <v>0</v>
      </c>
      <c r="C92" s="43">
        <f>ROUND(PAGE1!$I$59,5)</f>
        <v>0</v>
      </c>
    </row>
    <row r="93" spans="1:3">
      <c r="A93" s="146" t="e">
        <f>$C$1&amp;".E30A.REM.IBUS.DISB.1000TO1250.."</f>
        <v>#N/A</v>
      </c>
      <c r="B93" s="43">
        <f>ROUND(PAGE1!$K$59,5)</f>
        <v>0</v>
      </c>
      <c r="C93" s="43">
        <f>ROUND(PAGE1!$M$59,5)</f>
        <v>0</v>
      </c>
    </row>
    <row r="94" spans="1:3">
      <c r="A94" s="146" t="e">
        <f>$C$1&amp;".E30A.REM.IBUS.OS.1000TO1250.."</f>
        <v>#N/A</v>
      </c>
      <c r="B94" s="43">
        <f>ROUND(PAGE1!$O$59,5)</f>
        <v>0</v>
      </c>
      <c r="C94" s="43">
        <f>ROUND(PAGE1!$Q$59,5)</f>
        <v>0</v>
      </c>
    </row>
    <row r="95" spans="1:3">
      <c r="A95" s="146" t="e">
        <f>$C$1&amp;".E30A.REM.IBUS.APPR.1250TO1500.."</f>
        <v>#N/A</v>
      </c>
      <c r="B95" s="43">
        <f>ROUND(PAGE1!$G$60,5)</f>
        <v>0</v>
      </c>
      <c r="C95" s="43">
        <f>ROUND(PAGE1!$I$60,5)</f>
        <v>0</v>
      </c>
    </row>
    <row r="96" spans="1:3">
      <c r="A96" s="146" t="e">
        <f>$C$1&amp;".E30A.REM.IBUS.DISB.1250TO1500.."</f>
        <v>#N/A</v>
      </c>
      <c r="B96" s="43">
        <f>ROUND(PAGE1!$K$60,5)</f>
        <v>0</v>
      </c>
      <c r="C96" s="43">
        <f>ROUND(PAGE1!$M$60,5)</f>
        <v>0</v>
      </c>
    </row>
    <row r="97" spans="1:3">
      <c r="A97" s="146" t="e">
        <f>$C$1&amp;".E30A.REM.IBUS.OS.1250TO1500.."</f>
        <v>#N/A</v>
      </c>
      <c r="B97" s="43">
        <f>ROUND(PAGE1!$O$60,5)</f>
        <v>0</v>
      </c>
      <c r="C97" s="43">
        <f>ROUND(PAGE1!$Q$60,5)</f>
        <v>0</v>
      </c>
    </row>
    <row r="98" spans="1:3">
      <c r="A98" s="146" t="e">
        <f>$C$1&amp;".E30A.REM.IBUS.APPR.1500TO1750.."</f>
        <v>#N/A</v>
      </c>
      <c r="B98" s="43">
        <f>ROUND(PAGE1!$G$61,5)</f>
        <v>0</v>
      </c>
      <c r="C98" s="43">
        <f>ROUND(PAGE1!$I$61,5)</f>
        <v>0</v>
      </c>
    </row>
    <row r="99" spans="1:3">
      <c r="A99" s="146" t="e">
        <f>$C$1&amp;".E30A.REM.IBUS.DISB.1500TO1750.."</f>
        <v>#N/A</v>
      </c>
      <c r="B99" s="43">
        <f>ROUND(PAGE1!$K$61,5)</f>
        <v>0</v>
      </c>
      <c r="C99" s="43">
        <f>ROUND(PAGE1!$M$61,5)</f>
        <v>0</v>
      </c>
    </row>
    <row r="100" spans="1:3">
      <c r="A100" s="146" t="e">
        <f>$C$1&amp;".E30A.REM.IBUS.OS.1500TO1750.."</f>
        <v>#N/A</v>
      </c>
      <c r="B100" s="43">
        <f>ROUND(PAGE1!$O$61,5)</f>
        <v>0</v>
      </c>
      <c r="C100" s="43">
        <f>ROUND(PAGE1!$Q$61,5)</f>
        <v>0</v>
      </c>
    </row>
    <row r="101" spans="1:3">
      <c r="A101" s="146" t="e">
        <f>$C$1&amp;".E30A.REM.IBUS.APPR.1750TO2000.."</f>
        <v>#N/A</v>
      </c>
      <c r="B101" s="43">
        <f>ROUND(PAGE1!$G$62,5)</f>
        <v>0</v>
      </c>
      <c r="C101" s="43">
        <f>ROUND(PAGE1!$I$62,5)</f>
        <v>0</v>
      </c>
    </row>
    <row r="102" spans="1:3">
      <c r="A102" s="146" t="e">
        <f>$C$1&amp;".E30A.REM.IBUS.DISB.1750TO2000.."</f>
        <v>#N/A</v>
      </c>
      <c r="B102" s="43">
        <f>ROUND(PAGE1!$K$62,5)</f>
        <v>0</v>
      </c>
      <c r="C102" s="43">
        <f>ROUND(PAGE1!$M$62,5)</f>
        <v>0</v>
      </c>
    </row>
    <row r="103" spans="1:3">
      <c r="A103" s="146" t="e">
        <f>$C$1&amp;".E30A.REM.IBUS.OS.1750TO2000.."</f>
        <v>#N/A</v>
      </c>
      <c r="B103" s="43">
        <f>ROUND(PAGE1!$O$62,5)</f>
        <v>0</v>
      </c>
      <c r="C103" s="43">
        <f>ROUND(PAGE1!$Q$62,5)</f>
        <v>0</v>
      </c>
    </row>
    <row r="104" spans="1:3">
      <c r="A104" s="146" t="e">
        <f>$C$1&amp;".E30A.REM.IBUS.APPR.2000TO2250.."</f>
        <v>#N/A</v>
      </c>
      <c r="B104" s="43">
        <f>ROUND(PAGE1!$G$63,5)</f>
        <v>0</v>
      </c>
      <c r="C104" s="43">
        <f>ROUND(PAGE1!$I$63,5)</f>
        <v>0</v>
      </c>
    </row>
    <row r="105" spans="1:3">
      <c r="A105" s="146" t="e">
        <f>$C$1&amp;".E30A.REM.IBUS.DISB.2000TO2250.."</f>
        <v>#N/A</v>
      </c>
      <c r="B105" s="43">
        <f>ROUND(PAGE1!$K$63,5)</f>
        <v>0</v>
      </c>
      <c r="C105" s="43">
        <f>ROUND(PAGE1!$M$63,5)</f>
        <v>0</v>
      </c>
    </row>
    <row r="106" spans="1:3">
      <c r="A106" s="146" t="e">
        <f>$C$1&amp;".E30A.REM.IBUS.OS.2000TO2250.."</f>
        <v>#N/A</v>
      </c>
      <c r="B106" s="43">
        <f>ROUND(PAGE1!$O$63,5)</f>
        <v>0</v>
      </c>
      <c r="C106" s="43">
        <f>ROUND(PAGE1!$Q$63,5)</f>
        <v>0</v>
      </c>
    </row>
    <row r="107" spans="1:3">
      <c r="A107" s="146" t="e">
        <f>$C$1&amp;".E30A.REM.IBUS.APPR.2250TO2500.."</f>
        <v>#N/A</v>
      </c>
      <c r="B107" s="43">
        <f>ROUND(PAGE1!$G$64,5)</f>
        <v>0</v>
      </c>
      <c r="C107" s="43">
        <f>ROUND(PAGE1!$I$64,5)</f>
        <v>0</v>
      </c>
    </row>
    <row r="108" spans="1:3">
      <c r="A108" s="146" t="e">
        <f>$C$1&amp;".E30A.REM.IBUS.DISB.2250TO2500.."</f>
        <v>#N/A</v>
      </c>
      <c r="B108" s="43">
        <f>ROUND(PAGE1!$K$64,5)</f>
        <v>0</v>
      </c>
      <c r="C108" s="43">
        <f>ROUND(PAGE1!$M$64,5)</f>
        <v>0</v>
      </c>
    </row>
    <row r="109" spans="1:3">
      <c r="A109" s="146" t="e">
        <f>$C$1&amp;".E30A.REM.IBUS.OS.2250TO2500.."</f>
        <v>#N/A</v>
      </c>
      <c r="B109" s="43">
        <f>ROUND(PAGE1!$O$64,5)</f>
        <v>0</v>
      </c>
      <c r="C109" s="43">
        <f>ROUND(PAGE1!$Q$64,5)</f>
        <v>0</v>
      </c>
    </row>
    <row r="110" spans="1:3">
      <c r="A110" s="146" t="e">
        <f>$C$1&amp;".E30A.REM.IBUS.APPR.2500TO2750.."</f>
        <v>#N/A</v>
      </c>
      <c r="B110" s="43">
        <f>ROUND(PAGE1!$G$65,5)</f>
        <v>0</v>
      </c>
      <c r="C110" s="43">
        <f>ROUND(PAGE1!$I$65,5)</f>
        <v>0</v>
      </c>
    </row>
    <row r="111" spans="1:3">
      <c r="A111" s="146" t="e">
        <f>$C$1&amp;".E30A.REM.IBUS.DISB.2500TO2750.."</f>
        <v>#N/A</v>
      </c>
      <c r="B111" s="43">
        <f>ROUND(PAGE1!$K$65,5)</f>
        <v>0</v>
      </c>
      <c r="C111" s="43">
        <f>ROUND(PAGE1!$M$65,5)</f>
        <v>0</v>
      </c>
    </row>
    <row r="112" spans="1:3">
      <c r="A112" s="146" t="e">
        <f>$C$1&amp;".E30A.REM.IBUS.OS.2500TO2750.."</f>
        <v>#N/A</v>
      </c>
      <c r="B112" s="43">
        <f>ROUND(PAGE1!$O$65,5)</f>
        <v>0</v>
      </c>
      <c r="C112" s="43">
        <f>ROUND(PAGE1!$Q$65,5)</f>
        <v>0</v>
      </c>
    </row>
    <row r="113" spans="1:3">
      <c r="A113" s="146" t="e">
        <f>$C$1&amp;".E30A.REM.IBUS.APPR.2750TO3000.."</f>
        <v>#N/A</v>
      </c>
      <c r="B113" s="43">
        <f>ROUND(PAGE1!$G$66,5)</f>
        <v>0</v>
      </c>
      <c r="C113" s="43">
        <f>ROUND(PAGE1!$I$66,5)</f>
        <v>0</v>
      </c>
    </row>
    <row r="114" spans="1:3">
      <c r="A114" s="146" t="e">
        <f>$C$1&amp;".E30A.REM.IBUS.DISB.2750TO3000.."</f>
        <v>#N/A</v>
      </c>
      <c r="B114" s="43">
        <f>ROUND(PAGE1!$K$66,5)</f>
        <v>0</v>
      </c>
      <c r="C114" s="43">
        <f>ROUND(PAGE1!$M$66,5)</f>
        <v>0</v>
      </c>
    </row>
    <row r="115" spans="1:3">
      <c r="A115" s="146" t="e">
        <f>$C$1&amp;".E30A.REM.IBUS.OS.2750TO3000.."</f>
        <v>#N/A</v>
      </c>
      <c r="B115" s="43">
        <f>ROUND(PAGE1!$O$66,5)</f>
        <v>0</v>
      </c>
      <c r="C115" s="43">
        <f>ROUND(PAGE1!$Q$66,5)</f>
        <v>0</v>
      </c>
    </row>
    <row r="116" spans="1:3">
      <c r="A116" s="146" t="e">
        <f>$C$1&amp;".E30A.REM.IBUS.APPR.OVR3000.."</f>
        <v>#N/A</v>
      </c>
      <c r="B116" s="43">
        <f>ROUND(PAGE1!$G$67,5)</f>
        <v>0</v>
      </c>
      <c r="C116" s="43">
        <f>ROUND(PAGE1!$I$67,5)</f>
        <v>0</v>
      </c>
    </row>
    <row r="117" spans="1:3">
      <c r="A117" s="146" t="e">
        <f>$C$1&amp;".E30A.REM.IBUS.DISB.OVR3000.."</f>
        <v>#N/A</v>
      </c>
      <c r="B117" s="43">
        <f>ROUND(PAGE1!$K$67,5)</f>
        <v>0</v>
      </c>
      <c r="C117" s="43">
        <f>ROUND(PAGE1!$M$67,5)</f>
        <v>0</v>
      </c>
    </row>
    <row r="118" spans="1:3">
      <c r="A118" s="146" t="e">
        <f>$C$1&amp;".E30A.REM.IBUS.OS.OVR3000.."</f>
        <v>#N/A</v>
      </c>
      <c r="B118" s="43">
        <f>ROUND(PAGE1!$O$67,5)</f>
        <v>0</v>
      </c>
      <c r="C118" s="43">
        <f>ROUND(PAGE1!$Q$67,5)</f>
        <v>0</v>
      </c>
    </row>
    <row r="119" spans="1:3">
      <c r="A119" s="152" t="e">
        <f>$C$1&amp;".E30A.REM.IBUS.APPR.TTL.."</f>
        <v>#N/A</v>
      </c>
      <c r="B119" s="43">
        <f>ROUND(PAGE1!$G$55,5)</f>
        <v>0</v>
      </c>
      <c r="C119" s="43">
        <f>ROUND(PAGE1!$I$55,5)</f>
        <v>0</v>
      </c>
    </row>
    <row r="120" spans="1:3">
      <c r="A120" s="152" t="e">
        <f>$C$1&amp;".E30A.REM.IBUS.DISB.TTL.."</f>
        <v>#N/A</v>
      </c>
      <c r="B120" s="43">
        <f>ROUND(PAGE1!$K$55,5)</f>
        <v>0</v>
      </c>
      <c r="C120" s="43">
        <f>ROUND(PAGE1!$M$55,5)</f>
        <v>0</v>
      </c>
    </row>
    <row r="121" spans="1:3">
      <c r="A121" s="152" t="e">
        <f>$C$1&amp;".E30A.REM.IBUS.OS.TTL.."</f>
        <v>#N/A</v>
      </c>
      <c r="B121" s="43">
        <f>ROUND(PAGE1!$O$55,5)</f>
        <v>0</v>
      </c>
      <c r="C121" s="43">
        <f>ROUND(PAGE1!$Q$55,5)</f>
        <v>0</v>
      </c>
    </row>
    <row r="122" spans="1:3">
      <c r="A122" s="146" t="e">
        <f>$C$1&amp;".E30A.REM.UIBUS.APPR.LT450.."</f>
        <v>#N/A</v>
      </c>
      <c r="B122" s="43">
        <f>ROUND(PAGE1!$G$71,5)</f>
        <v>0</v>
      </c>
      <c r="C122" s="43">
        <f>ROUND(PAGE1!$I$71,5)</f>
        <v>0</v>
      </c>
    </row>
    <row r="123" spans="1:3">
      <c r="A123" s="146" t="e">
        <f>$C$1&amp;".E30A.REM.UIBUS.DISB.LT450.."</f>
        <v>#N/A</v>
      </c>
      <c r="B123" s="43">
        <f>ROUND(PAGE1!$K$71,5)</f>
        <v>0</v>
      </c>
      <c r="C123" s="43">
        <f>ROUND(PAGE1!$M$71,5)</f>
        <v>0</v>
      </c>
    </row>
    <row r="124" spans="1:3">
      <c r="A124" s="146" t="e">
        <f>$C$1&amp;".E30A.REM.UIBUS.OS.LT450.."</f>
        <v>#N/A</v>
      </c>
      <c r="B124" s="43">
        <f>ROUND(PAGE1!$O$71,5)</f>
        <v>0</v>
      </c>
      <c r="C124" s="43">
        <f>ROUND(PAGE1!$Q$71,5)</f>
        <v>0</v>
      </c>
    </row>
    <row r="125" spans="1:3">
      <c r="A125" s="146" t="e">
        <f>$C$1&amp;".E30A.REM.UIBUS.APPR.450TO750.."</f>
        <v>#N/A</v>
      </c>
      <c r="B125" s="43">
        <f>ROUND(PAGE1!$G$72,5)</f>
        <v>0</v>
      </c>
      <c r="C125" s="43">
        <f>ROUND(PAGE1!$I$72,5)</f>
        <v>0</v>
      </c>
    </row>
    <row r="126" spans="1:3">
      <c r="A126" s="146" t="e">
        <f>$C$1&amp;".E30A.REM.UIBUS.DISB.450TO750.."</f>
        <v>#N/A</v>
      </c>
      <c r="B126" s="43">
        <f>ROUND(PAGE1!$K$72,5)</f>
        <v>0</v>
      </c>
      <c r="C126" s="43">
        <f>ROUND(PAGE1!$M$72,5)</f>
        <v>0</v>
      </c>
    </row>
    <row r="127" spans="1:3">
      <c r="A127" s="146" t="e">
        <f>$C$1&amp;".E30A.REM.UIBUS.OS.450TO750.."</f>
        <v>#N/A</v>
      </c>
      <c r="B127" s="43">
        <f>ROUND(PAGE1!$O$72,5)</f>
        <v>0</v>
      </c>
      <c r="C127" s="43">
        <f>ROUND(PAGE1!$Q$72,5)</f>
        <v>0</v>
      </c>
    </row>
    <row r="128" spans="1:3">
      <c r="A128" s="146" t="e">
        <f>$C$1&amp;".E30A.REM.UIBUS.APPR.750TO1000.."</f>
        <v>#N/A</v>
      </c>
      <c r="B128" s="43">
        <f>ROUND(PAGE1!$G$73,5)</f>
        <v>0</v>
      </c>
      <c r="C128" s="43">
        <f>ROUND(PAGE1!$I$73,5)</f>
        <v>0</v>
      </c>
    </row>
    <row r="129" spans="1:3">
      <c r="A129" s="146" t="e">
        <f>$C$1&amp;".E30A.REM.UIBUS.DISB.750TO1000.."</f>
        <v>#N/A</v>
      </c>
      <c r="B129" s="43">
        <f>ROUND(PAGE1!$K$73,5)</f>
        <v>0</v>
      </c>
      <c r="C129" s="43">
        <f>ROUND(PAGE1!$M$73,5)</f>
        <v>0</v>
      </c>
    </row>
    <row r="130" spans="1:3">
      <c r="A130" s="146" t="e">
        <f>$C$1&amp;".E30A.REM.UIBUS.OS.750TO1000.."</f>
        <v>#N/A</v>
      </c>
      <c r="B130" s="43">
        <f>ROUND(PAGE1!$O$73,5)</f>
        <v>0</v>
      </c>
      <c r="C130" s="43">
        <f>ROUND(PAGE1!$Q$73,5)</f>
        <v>0</v>
      </c>
    </row>
    <row r="131" spans="1:3">
      <c r="A131" s="146" t="e">
        <f>$C$1&amp;".E30A.REM.UIBUS.APPR.1000TO1250.."</f>
        <v>#N/A</v>
      </c>
      <c r="B131" s="43">
        <f>ROUND(PAGE1!$G$74,5)</f>
        <v>0</v>
      </c>
      <c r="C131" s="43">
        <f>ROUND(PAGE1!$I$74,5)</f>
        <v>0</v>
      </c>
    </row>
    <row r="132" spans="1:3">
      <c r="A132" s="146" t="e">
        <f>$C$1&amp;".E30A.REM.UIBUS.DISB.1000TO1250.."</f>
        <v>#N/A</v>
      </c>
      <c r="B132" s="43">
        <f>ROUND(PAGE1!$K$74,5)</f>
        <v>0</v>
      </c>
      <c r="C132" s="43">
        <f>ROUND(PAGE1!$M$74,5)</f>
        <v>0</v>
      </c>
    </row>
    <row r="133" spans="1:3">
      <c r="A133" s="146" t="e">
        <f>$C$1&amp;".E30A.REM.UIBUS.OS.1000TO1250.."</f>
        <v>#N/A</v>
      </c>
      <c r="B133" s="43">
        <f>ROUND(PAGE1!$O$74,5)</f>
        <v>0</v>
      </c>
      <c r="C133" s="43">
        <f>ROUND(PAGE1!$Q$74,5)</f>
        <v>0</v>
      </c>
    </row>
    <row r="134" spans="1:3">
      <c r="A134" s="146" t="e">
        <f>$C$1&amp;".E30A.REM.UIBUS.APPR.1250TO1500.."</f>
        <v>#N/A</v>
      </c>
      <c r="B134" s="43">
        <f>ROUND(PAGE1!$G$75,5)</f>
        <v>0</v>
      </c>
      <c r="C134" s="43">
        <f>ROUND(PAGE1!$I$75,5)</f>
        <v>0</v>
      </c>
    </row>
    <row r="135" spans="1:3">
      <c r="A135" s="146" t="e">
        <f>$C$1&amp;".E30A.REM.UIBUS.DISB.1250TO1500.."</f>
        <v>#N/A</v>
      </c>
      <c r="B135" s="43">
        <f>ROUND(PAGE1!$K$75,5)</f>
        <v>0</v>
      </c>
      <c r="C135" s="43">
        <f>ROUND(PAGE1!$M$75,5)</f>
        <v>0</v>
      </c>
    </row>
    <row r="136" spans="1:3">
      <c r="A136" s="146" t="e">
        <f>$C$1&amp;".E30A.REM.UIBUS.OS.1250TO1500.."</f>
        <v>#N/A</v>
      </c>
      <c r="B136" s="43">
        <f>ROUND(PAGE1!$O$75,5)</f>
        <v>0</v>
      </c>
      <c r="C136" s="43">
        <f>ROUND(PAGE1!$Q$75,5)</f>
        <v>0</v>
      </c>
    </row>
    <row r="137" spans="1:3">
      <c r="A137" s="146" t="e">
        <f>$C$1&amp;".E30A.REM.UIBUS.APPR.1500TO1750.."</f>
        <v>#N/A</v>
      </c>
      <c r="B137" s="43">
        <f>ROUND(PAGE1!$G$76,5)</f>
        <v>0</v>
      </c>
      <c r="C137" s="43">
        <f>ROUND(PAGE1!$I$76,5)</f>
        <v>0</v>
      </c>
    </row>
    <row r="138" spans="1:3">
      <c r="A138" s="146" t="e">
        <f>$C$1&amp;".E30A.REM.UIBUS.DISB.1500TO1750.."</f>
        <v>#N/A</v>
      </c>
      <c r="B138" s="43">
        <f>ROUND(PAGE1!$K$76,5)</f>
        <v>0</v>
      </c>
      <c r="C138" s="43">
        <f>ROUND(PAGE1!$M$76,5)</f>
        <v>0</v>
      </c>
    </row>
    <row r="139" spans="1:3">
      <c r="A139" s="146" t="e">
        <f>$C$1&amp;".E30A.REM.UIBUS.OS.1500TO1750.."</f>
        <v>#N/A</v>
      </c>
      <c r="B139" s="43">
        <f>ROUND(PAGE1!$O$76,5)</f>
        <v>0</v>
      </c>
      <c r="C139" s="43">
        <f>ROUND(PAGE1!$Q$76,5)</f>
        <v>0</v>
      </c>
    </row>
    <row r="140" spans="1:3">
      <c r="A140" s="146" t="e">
        <f>$C$1&amp;".E30A.REM.UIBUS.APPR.1750TO2000.."</f>
        <v>#N/A</v>
      </c>
      <c r="B140" s="43">
        <f>ROUND(PAGE1!$G$77,5)</f>
        <v>0</v>
      </c>
      <c r="C140" s="43">
        <f>ROUND(PAGE1!$I$77,5)</f>
        <v>0</v>
      </c>
    </row>
    <row r="141" spans="1:3">
      <c r="A141" s="146" t="e">
        <f>$C$1&amp;".E30A.REM.UIBUS.DISB.1750TO2000.."</f>
        <v>#N/A</v>
      </c>
      <c r="B141" s="43">
        <f>ROUND(PAGE1!$K$77,5)</f>
        <v>0</v>
      </c>
      <c r="C141" s="43">
        <f>ROUND(PAGE1!$M$77,5)</f>
        <v>0</v>
      </c>
    </row>
    <row r="142" spans="1:3">
      <c r="A142" s="146" t="e">
        <f>$C$1&amp;".E30A.REM.UIBUS.OS.1750TO2000.."</f>
        <v>#N/A</v>
      </c>
      <c r="B142" s="43">
        <f>ROUND(PAGE1!$O$77,5)</f>
        <v>0</v>
      </c>
      <c r="C142" s="43">
        <f>ROUND(PAGE1!$Q$77,5)</f>
        <v>0</v>
      </c>
    </row>
    <row r="143" spans="1:3">
      <c r="A143" s="146" t="e">
        <f>$C$1&amp;".E30A.REM.UIBUS.APPR.2000TO2250.."</f>
        <v>#N/A</v>
      </c>
      <c r="B143" s="43">
        <f>ROUND(PAGE1!$G$78,5)</f>
        <v>0</v>
      </c>
      <c r="C143" s="43">
        <f>ROUND(PAGE1!$I$78,5)</f>
        <v>0</v>
      </c>
    </row>
    <row r="144" spans="1:3">
      <c r="A144" s="146" t="e">
        <f>$C$1&amp;".E30A.REM.UIBUS.DISB.2000TO2250.."</f>
        <v>#N/A</v>
      </c>
      <c r="B144" s="43">
        <f>ROUND(PAGE1!$K$78,5)</f>
        <v>0</v>
      </c>
      <c r="C144" s="43">
        <f>ROUND(PAGE1!$M$78,5)</f>
        <v>0</v>
      </c>
    </row>
    <row r="145" spans="1:3">
      <c r="A145" s="146" t="e">
        <f>$C$1&amp;".E30A.REM.UIBUS.OS.2000TO2250.."</f>
        <v>#N/A</v>
      </c>
      <c r="B145" s="43">
        <f>ROUND(PAGE1!$O$78,5)</f>
        <v>0</v>
      </c>
      <c r="C145" s="43">
        <f>ROUND(PAGE1!$Q$78,5)</f>
        <v>0</v>
      </c>
    </row>
    <row r="146" spans="1:3">
      <c r="A146" s="146" t="e">
        <f>$C$1&amp;".E30A.REM.UIBUS.APPR.2250TO2500.."</f>
        <v>#N/A</v>
      </c>
      <c r="B146" s="43">
        <f>ROUND(PAGE1!$G$79,5)</f>
        <v>0</v>
      </c>
      <c r="C146" s="43">
        <f>ROUND(PAGE1!$I$79,5)</f>
        <v>0</v>
      </c>
    </row>
    <row r="147" spans="1:3">
      <c r="A147" s="146" t="e">
        <f>$C$1&amp;".E30A.REM.UIBUS.DISB.2250TO2500.."</f>
        <v>#N/A</v>
      </c>
      <c r="B147" s="43">
        <f>ROUND(PAGE1!$K$79,5)</f>
        <v>0</v>
      </c>
      <c r="C147" s="43">
        <f>ROUND(PAGE1!$M$79,5)</f>
        <v>0</v>
      </c>
    </row>
    <row r="148" spans="1:3">
      <c r="A148" s="146" t="e">
        <f>$C$1&amp;".E30A.REM.UIBUS.OS.2250TO2500.."</f>
        <v>#N/A</v>
      </c>
      <c r="B148" s="43">
        <f>ROUND(PAGE1!$O$79,5)</f>
        <v>0</v>
      </c>
      <c r="C148" s="43">
        <f>ROUND(PAGE1!$Q$79,5)</f>
        <v>0</v>
      </c>
    </row>
    <row r="149" spans="1:3">
      <c r="A149" s="146" t="e">
        <f>$C$1&amp;".E30A.REM.UIBUS.APPR.2500TO2750.."</f>
        <v>#N/A</v>
      </c>
      <c r="B149" s="43">
        <f>ROUND(PAGE1!$G$80,5)</f>
        <v>0</v>
      </c>
      <c r="C149" s="43">
        <f>ROUND(PAGE1!$I$80,5)</f>
        <v>0</v>
      </c>
    </row>
    <row r="150" spans="1:3">
      <c r="A150" s="146" t="e">
        <f>$C$1&amp;".E30A.REM.UIBUS.DISB.2500TO2750.."</f>
        <v>#N/A</v>
      </c>
      <c r="B150" s="43">
        <f>ROUND(PAGE1!$K$80,5)</f>
        <v>0</v>
      </c>
      <c r="C150" s="43">
        <f>ROUND(PAGE1!$M$80,5)</f>
        <v>0</v>
      </c>
    </row>
    <row r="151" spans="1:3">
      <c r="A151" s="146" t="e">
        <f>$C$1&amp;".E30A.REM.UIBUS.OS.2500TO2750.."</f>
        <v>#N/A</v>
      </c>
      <c r="B151" s="43">
        <f>ROUND(PAGE1!$O$80,5)</f>
        <v>0</v>
      </c>
      <c r="C151" s="43">
        <f>ROUND(PAGE1!$Q$80,5)</f>
        <v>0</v>
      </c>
    </row>
    <row r="152" spans="1:3">
      <c r="A152" s="146" t="e">
        <f>$C$1&amp;".E30A.REM.UIBUS.APPR.2750TO3000.."</f>
        <v>#N/A</v>
      </c>
      <c r="B152" s="43">
        <f>ROUND(PAGE1!$G$81,5)</f>
        <v>0</v>
      </c>
      <c r="C152" s="43">
        <f>ROUND(PAGE1!$I$81,5)</f>
        <v>0</v>
      </c>
    </row>
    <row r="153" spans="1:3">
      <c r="A153" s="146" t="e">
        <f>$C$1&amp;".E30A.REM.UIBUS.DISB.2750TO3000.."</f>
        <v>#N/A</v>
      </c>
      <c r="B153" s="43">
        <f>ROUND(PAGE1!$K$81,5)</f>
        <v>0</v>
      </c>
      <c r="C153" s="43">
        <f>ROUND(PAGE1!$M$81,5)</f>
        <v>0</v>
      </c>
    </row>
    <row r="154" spans="1:3">
      <c r="A154" s="146" t="e">
        <f>$C$1&amp;".E30A.REM.UIBUS.OS.2750TO3000.."</f>
        <v>#N/A</v>
      </c>
      <c r="B154" s="43">
        <f>ROUND(PAGE1!$O$81,5)</f>
        <v>0</v>
      </c>
      <c r="C154" s="43">
        <f>ROUND(PAGE1!$Q$81,5)</f>
        <v>0</v>
      </c>
    </row>
    <row r="155" spans="1:3">
      <c r="A155" s="146" t="e">
        <f>$C$1&amp;".E30A.REM.UIBUS.APPR.OVR3000.."</f>
        <v>#N/A</v>
      </c>
      <c r="B155" s="43">
        <f>ROUND(PAGE1!$G$82,5)</f>
        <v>0</v>
      </c>
      <c r="C155" s="43">
        <f>ROUND(PAGE1!$I$82,5)</f>
        <v>0</v>
      </c>
    </row>
    <row r="156" spans="1:3">
      <c r="A156" s="146" t="e">
        <f>$C$1&amp;".E30A.REM.UIBUS.DISB.OVR3000.."</f>
        <v>#N/A</v>
      </c>
      <c r="B156" s="43">
        <f>ROUND(PAGE1!$K$82,5)</f>
        <v>0</v>
      </c>
      <c r="C156" s="43">
        <f>ROUND(PAGE1!$M$82,5)</f>
        <v>0</v>
      </c>
    </row>
    <row r="157" spans="1:3">
      <c r="A157" s="146" t="e">
        <f>$C$1&amp;".E30A.REM.UIBUS.OS.OVR3000.."</f>
        <v>#N/A</v>
      </c>
      <c r="B157" s="43">
        <f>ROUND(PAGE1!$O$82,5)</f>
        <v>0</v>
      </c>
      <c r="C157" s="43">
        <f>ROUND(PAGE1!$Q$82,5)</f>
        <v>0</v>
      </c>
    </row>
    <row r="158" spans="1:3">
      <c r="A158" s="152" t="e">
        <f>$C$1&amp;".E30A.REM.UIBUS.APPR.TTL.."</f>
        <v>#N/A</v>
      </c>
      <c r="B158" s="43">
        <f>ROUND(PAGE1!$G$70,5)</f>
        <v>0</v>
      </c>
      <c r="C158" s="43">
        <f>ROUND(PAGE1!$I$70,5)</f>
        <v>0</v>
      </c>
    </row>
    <row r="159" spans="1:3">
      <c r="A159" s="152" t="e">
        <f>$C$1&amp;".E30A.REM.UIBUS.DISB.TTL.."</f>
        <v>#N/A</v>
      </c>
      <c r="B159" s="43">
        <f>ROUND(PAGE1!$K$70,5)</f>
        <v>0</v>
      </c>
      <c r="C159" s="43">
        <f>ROUND(PAGE1!$M$70,5)</f>
        <v>0</v>
      </c>
    </row>
    <row r="160" spans="1:3">
      <c r="A160" s="152" t="e">
        <f>$C$1&amp;".E30A.REM.UIBUS.OS.TTL.."</f>
        <v>#N/A</v>
      </c>
      <c r="B160" s="43">
        <f>ROUND(PAGE1!$O$70,5)</f>
        <v>0</v>
      </c>
      <c r="C160" s="43">
        <f>ROUND(PAGE1!$Q$70,5)</f>
        <v>0</v>
      </c>
    </row>
    <row r="161" spans="1:3">
      <c r="A161" s="146" t="e">
        <f>$C$1&amp;".E30A.REM.CONSM.APPR.LT450.."</f>
        <v>#N/A</v>
      </c>
      <c r="B161" s="43">
        <f>ROUND(PAGE1!$G$85,5)</f>
        <v>0</v>
      </c>
      <c r="C161" s="43">
        <f>ROUND(PAGE1!$I$85,5)</f>
        <v>0</v>
      </c>
    </row>
    <row r="162" spans="1:3">
      <c r="A162" s="146" t="e">
        <f>$C$1&amp;".E30A.REM.CONSM.DISB.LT450.."</f>
        <v>#N/A</v>
      </c>
      <c r="B162" s="43">
        <f>ROUND(PAGE1!$K$85,5)</f>
        <v>0</v>
      </c>
      <c r="C162" s="43">
        <f>ROUND(PAGE1!$M$85,5)</f>
        <v>0</v>
      </c>
    </row>
    <row r="163" spans="1:3">
      <c r="A163" s="146" t="e">
        <f>$C$1&amp;".E30A.REM.CONSM.OS.LT450.."</f>
        <v>#N/A</v>
      </c>
      <c r="B163" s="43">
        <f>ROUND(PAGE1!$O$85,5)</f>
        <v>0</v>
      </c>
      <c r="C163" s="43">
        <f>ROUND(PAGE1!$Q$85,5)</f>
        <v>0</v>
      </c>
    </row>
    <row r="164" spans="1:3">
      <c r="A164" s="146" t="e">
        <f>$C$1&amp;".E30A.REM.CONSM.APPR.450TO750.."</f>
        <v>#N/A</v>
      </c>
      <c r="B164" s="43">
        <f>ROUND(PAGE1!$G$86,5)</f>
        <v>0</v>
      </c>
      <c r="C164" s="43">
        <f>ROUND(PAGE1!$I$86,5)</f>
        <v>0</v>
      </c>
    </row>
    <row r="165" spans="1:3">
      <c r="A165" s="146" t="e">
        <f>$C$1&amp;".E30A.REM.CONSM.DISB.450TO750.."</f>
        <v>#N/A</v>
      </c>
      <c r="B165" s="43">
        <f>ROUND(PAGE1!$K$86,5)</f>
        <v>0</v>
      </c>
      <c r="C165" s="43">
        <f>ROUND(PAGE1!$M$86,5)</f>
        <v>0</v>
      </c>
    </row>
    <row r="166" spans="1:3">
      <c r="A166" s="146" t="e">
        <f>$C$1&amp;".E30A.REM.CONSM.OS.450TO750.."</f>
        <v>#N/A</v>
      </c>
      <c r="B166" s="43">
        <f>ROUND(PAGE1!$O$86,5)</f>
        <v>0</v>
      </c>
      <c r="C166" s="43">
        <f>ROUND(PAGE1!$Q$86,5)</f>
        <v>0</v>
      </c>
    </row>
    <row r="167" spans="1:3">
      <c r="A167" s="146" t="e">
        <f>$C$1&amp;".E30A.REM.CONSM.APPR.750TO1000.."</f>
        <v>#N/A</v>
      </c>
      <c r="B167" s="43">
        <f>ROUND(PAGE1!$G$87,5)</f>
        <v>0</v>
      </c>
      <c r="C167" s="43">
        <f>ROUND(PAGE1!$I$87,5)</f>
        <v>0</v>
      </c>
    </row>
    <row r="168" spans="1:3">
      <c r="A168" s="146" t="e">
        <f>$C$1&amp;".E30A.REM.CONSM.DISB.750TO1000.."</f>
        <v>#N/A</v>
      </c>
      <c r="B168" s="43">
        <f>ROUND(PAGE1!$K$87,5)</f>
        <v>0</v>
      </c>
      <c r="C168" s="43">
        <f>ROUND(PAGE1!$M$87,5)</f>
        <v>0</v>
      </c>
    </row>
    <row r="169" spans="1:3">
      <c r="A169" s="146" t="e">
        <f>$C$1&amp;".E30A.REM.CONSM.OS.750TO1000.."</f>
        <v>#N/A</v>
      </c>
      <c r="B169" s="43">
        <f>ROUND(PAGE1!$O$87,5)</f>
        <v>0</v>
      </c>
      <c r="C169" s="43">
        <f>ROUND(PAGE1!$Q$87,5)</f>
        <v>0</v>
      </c>
    </row>
    <row r="170" spans="1:3">
      <c r="A170" s="146" t="e">
        <f>$C$1&amp;".E30A.REM.CONSM.APPR.1000TO1250.."</f>
        <v>#N/A</v>
      </c>
      <c r="B170" s="43">
        <f>ROUND(PAGE1!$G$88,5)</f>
        <v>0</v>
      </c>
      <c r="C170" s="43">
        <f>ROUND(PAGE1!$I$88,5)</f>
        <v>0</v>
      </c>
    </row>
    <row r="171" spans="1:3">
      <c r="A171" s="146" t="e">
        <f>$C$1&amp;".E30A.REM.CONSM.DISB.1000TO1250.."</f>
        <v>#N/A</v>
      </c>
      <c r="B171" s="43">
        <f>ROUND(PAGE1!$K$88,5)</f>
        <v>0</v>
      </c>
      <c r="C171" s="43">
        <f>ROUND(PAGE1!$M$88,5)</f>
        <v>0</v>
      </c>
    </row>
    <row r="172" spans="1:3">
      <c r="A172" s="146" t="e">
        <f>$C$1&amp;".E30A.REM.CONSM.OS.1000TO1250.."</f>
        <v>#N/A</v>
      </c>
      <c r="B172" s="43">
        <f>ROUND(PAGE1!$O$88,5)</f>
        <v>0</v>
      </c>
      <c r="C172" s="43">
        <f>ROUND(PAGE1!$Q$88,5)</f>
        <v>0</v>
      </c>
    </row>
    <row r="173" spans="1:3">
      <c r="A173" s="146" t="e">
        <f>$C$1&amp;".E30A.REM.CONSM.APPR.1250TO1500.."</f>
        <v>#N/A</v>
      </c>
      <c r="B173" s="43">
        <f>ROUND(PAGE1!$G$89,5)</f>
        <v>0</v>
      </c>
      <c r="C173" s="43">
        <f>ROUND(PAGE1!$I$89,5)</f>
        <v>0</v>
      </c>
    </row>
    <row r="174" spans="1:3">
      <c r="A174" s="146" t="e">
        <f>$C$1&amp;".E30A.REM.CONSM.DISB.1250TO1500.."</f>
        <v>#N/A</v>
      </c>
      <c r="B174" s="43">
        <f>ROUND(PAGE1!$K$89,5)</f>
        <v>0</v>
      </c>
      <c r="C174" s="43">
        <f>ROUND(PAGE1!$M$89,5)</f>
        <v>0</v>
      </c>
    </row>
    <row r="175" spans="1:3">
      <c r="A175" s="146" t="e">
        <f>$C$1&amp;".E30A.REM.CONSM.OS.1250TO1500.."</f>
        <v>#N/A</v>
      </c>
      <c r="B175" s="43">
        <f>ROUND(PAGE1!$O$89,5)</f>
        <v>0</v>
      </c>
      <c r="C175" s="43">
        <f>ROUND(PAGE1!$Q$89,5)</f>
        <v>0</v>
      </c>
    </row>
    <row r="176" spans="1:3">
      <c r="A176" s="146" t="e">
        <f>$C$1&amp;".E30A.REM.CONSM.APPR.1500TO1750.."</f>
        <v>#N/A</v>
      </c>
      <c r="B176" s="43">
        <f>ROUND(PAGE1!$G$90,5)</f>
        <v>0</v>
      </c>
      <c r="C176" s="43">
        <f>ROUND(PAGE1!$I$90,5)</f>
        <v>0</v>
      </c>
    </row>
    <row r="177" spans="1:3">
      <c r="A177" s="146" t="e">
        <f>$C$1&amp;".E30A.REM.CONSM.DISB.1500TO1750.."</f>
        <v>#N/A</v>
      </c>
      <c r="B177" s="43">
        <f>ROUND(PAGE1!$K$90,5)</f>
        <v>0</v>
      </c>
      <c r="C177" s="43">
        <f>ROUND(PAGE1!$M$90,5)</f>
        <v>0</v>
      </c>
    </row>
    <row r="178" spans="1:3">
      <c r="A178" s="146" t="e">
        <f>$C$1&amp;".E30A.REM.CONSM.OS.1500TO1750.."</f>
        <v>#N/A</v>
      </c>
      <c r="B178" s="43">
        <f>ROUND(PAGE1!$O$90,5)</f>
        <v>0</v>
      </c>
      <c r="C178" s="43">
        <f>ROUND(PAGE1!$Q$90,5)</f>
        <v>0</v>
      </c>
    </row>
    <row r="179" spans="1:3">
      <c r="A179" s="146" t="e">
        <f>$C$1&amp;".E30A.REM.CONSM.APPR.1750TO2000.."</f>
        <v>#N/A</v>
      </c>
      <c r="B179" s="43">
        <f>ROUND(PAGE1!$G$91,5)</f>
        <v>0</v>
      </c>
      <c r="C179" s="43">
        <f>ROUND(PAGE1!$I$91,5)</f>
        <v>0</v>
      </c>
    </row>
    <row r="180" spans="1:3">
      <c r="A180" s="146" t="e">
        <f>$C$1&amp;".E30A.REM.CONSM.DISB.1750TO2000.."</f>
        <v>#N/A</v>
      </c>
      <c r="B180" s="43">
        <f>ROUND(PAGE1!$K$91,5)</f>
        <v>0</v>
      </c>
      <c r="C180" s="43">
        <f>ROUND(PAGE1!$M$91,5)</f>
        <v>0</v>
      </c>
    </row>
    <row r="181" spans="1:3">
      <c r="A181" s="146" t="e">
        <f>$C$1&amp;".E30A.REM.CONSM.OS.1750TO2000.."</f>
        <v>#N/A</v>
      </c>
      <c r="B181" s="43">
        <f>ROUND(PAGE1!$O$91,5)</f>
        <v>0</v>
      </c>
      <c r="C181" s="43">
        <f>ROUND(PAGE1!$Q$91,5)</f>
        <v>0</v>
      </c>
    </row>
    <row r="182" spans="1:3">
      <c r="A182" s="146" t="e">
        <f>$C$1&amp;".E30A.REM.CONSM.APPR.2000TO2250.."</f>
        <v>#N/A</v>
      </c>
      <c r="B182" s="43">
        <f>ROUND(PAGE1!$G$92,5)</f>
        <v>0</v>
      </c>
      <c r="C182" s="43">
        <f>ROUND(PAGE1!$I$92,5)</f>
        <v>0</v>
      </c>
    </row>
    <row r="183" spans="1:3">
      <c r="A183" s="146" t="e">
        <f>$C$1&amp;".E30A.REM.CONSM.DISB.2000TO2250.."</f>
        <v>#N/A</v>
      </c>
      <c r="B183" s="43">
        <f>ROUND(PAGE1!$K$92,5)</f>
        <v>0</v>
      </c>
      <c r="C183" s="43">
        <f>ROUND(PAGE1!$M$92,5)</f>
        <v>0</v>
      </c>
    </row>
    <row r="184" spans="1:3">
      <c r="A184" s="146" t="e">
        <f>$C$1&amp;".E30A.REM.CONSM.OS.2000TO2250.."</f>
        <v>#N/A</v>
      </c>
      <c r="B184" s="43">
        <f>ROUND(PAGE1!$O$92,5)</f>
        <v>0</v>
      </c>
      <c r="C184" s="43">
        <f>ROUND(PAGE1!$Q$92,5)</f>
        <v>0</v>
      </c>
    </row>
    <row r="185" spans="1:3">
      <c r="A185" s="146" t="e">
        <f>$C$1&amp;".E30A.REM.CONSM.APPR.2250TO2500.."</f>
        <v>#N/A</v>
      </c>
      <c r="B185" s="43">
        <f>ROUND(PAGE1!$G$93,5)</f>
        <v>0</v>
      </c>
      <c r="C185" s="43">
        <f>ROUND(PAGE1!$I$93,5)</f>
        <v>0</v>
      </c>
    </row>
    <row r="186" spans="1:3">
      <c r="A186" s="146" t="e">
        <f>$C$1&amp;".E30A.REM.CONSM.DISB.2250TO2500.."</f>
        <v>#N/A</v>
      </c>
      <c r="B186" s="43">
        <f>ROUND(PAGE1!$K$93,5)</f>
        <v>0</v>
      </c>
      <c r="C186" s="43">
        <f>ROUND(PAGE1!$M$93,5)</f>
        <v>0</v>
      </c>
    </row>
    <row r="187" spans="1:3">
      <c r="A187" s="146" t="e">
        <f>$C$1&amp;".E30A.REM.CONSM.OS.2250TO2500.."</f>
        <v>#N/A</v>
      </c>
      <c r="B187" s="43">
        <f>ROUND(PAGE1!$O$93,5)</f>
        <v>0</v>
      </c>
      <c r="C187" s="43">
        <f>ROUND(PAGE1!$Q$93,5)</f>
        <v>0</v>
      </c>
    </row>
    <row r="188" spans="1:3">
      <c r="A188" s="146" t="e">
        <f>$C$1&amp;".E30A.REM.CONSM.APPR.2500TO2750.."</f>
        <v>#N/A</v>
      </c>
      <c r="B188" s="43">
        <f>ROUND(PAGE1!$G$94,5)</f>
        <v>0</v>
      </c>
      <c r="C188" s="43">
        <f>ROUND(PAGE1!$I$94,5)</f>
        <v>0</v>
      </c>
    </row>
    <row r="189" spans="1:3">
      <c r="A189" s="146" t="e">
        <f>$C$1&amp;".E30A.REM.CONSM.DISB.2500TO2750.."</f>
        <v>#N/A</v>
      </c>
      <c r="B189" s="43">
        <f>ROUND(PAGE1!$K$94,5)</f>
        <v>0</v>
      </c>
      <c r="C189" s="43">
        <f>ROUND(PAGE1!$M$94,5)</f>
        <v>0</v>
      </c>
    </row>
    <row r="190" spans="1:3">
      <c r="A190" s="146" t="e">
        <f>$C$1&amp;".E30A.REM.CONSM.OS.2500TO2750.."</f>
        <v>#N/A</v>
      </c>
      <c r="B190" s="43">
        <f>ROUND(PAGE1!$O$94,5)</f>
        <v>0</v>
      </c>
      <c r="C190" s="43">
        <f>ROUND(PAGE1!$Q$94,5)</f>
        <v>0</v>
      </c>
    </row>
    <row r="191" spans="1:3">
      <c r="A191" s="146" t="e">
        <f>$C$1&amp;".E30A.REM.CONSM.APPR.2750TO3000.."</f>
        <v>#N/A</v>
      </c>
      <c r="B191" s="43">
        <f>ROUND(PAGE1!$G$95,5)</f>
        <v>0</v>
      </c>
      <c r="C191" s="43">
        <f>ROUND(PAGE1!$I$95,5)</f>
        <v>0</v>
      </c>
    </row>
    <row r="192" spans="1:3">
      <c r="A192" s="146" t="e">
        <f>$C$1&amp;".E30A.REM.CONSM.DISB.2750TO3000.."</f>
        <v>#N/A</v>
      </c>
      <c r="B192" s="43">
        <f>ROUND(PAGE1!$K$95,5)</f>
        <v>0</v>
      </c>
      <c r="C192" s="43">
        <f>ROUND(PAGE1!$M$95,5)</f>
        <v>0</v>
      </c>
    </row>
    <row r="193" spans="1:3">
      <c r="A193" s="146" t="e">
        <f>$C$1&amp;".E30A.REM.CONSM.OS.2750TO3000.."</f>
        <v>#N/A</v>
      </c>
      <c r="B193" s="43">
        <f>ROUND(PAGE1!$O$95,5)</f>
        <v>0</v>
      </c>
      <c r="C193" s="43">
        <f>ROUND(PAGE1!$Q$95,5)</f>
        <v>0</v>
      </c>
    </row>
    <row r="194" spans="1:3">
      <c r="A194" s="146" t="e">
        <f>$C$1&amp;".E30A.REM.CONSM.APPR.OVR3000.."</f>
        <v>#N/A</v>
      </c>
      <c r="B194" s="43">
        <f>ROUND(PAGE1!$G$96,5)</f>
        <v>0</v>
      </c>
      <c r="C194" s="43">
        <f>ROUND(PAGE1!$I$96,5)</f>
        <v>0</v>
      </c>
    </row>
    <row r="195" spans="1:3">
      <c r="A195" s="146" t="e">
        <f>$C$1&amp;".E30A.REM.CONSM.DISB.OVR3000.."</f>
        <v>#N/A</v>
      </c>
      <c r="B195" s="43">
        <f>ROUND(PAGE1!$K$96,5)</f>
        <v>0</v>
      </c>
      <c r="C195" s="43">
        <f>ROUND(PAGE1!$M$96,5)</f>
        <v>0</v>
      </c>
    </row>
    <row r="196" spans="1:3">
      <c r="A196" s="146" t="e">
        <f>$C$1&amp;".E30A.REM.CONSM.OS.OVR3000.."</f>
        <v>#N/A</v>
      </c>
      <c r="B196" s="43">
        <f>ROUND(PAGE1!$O$96,5)</f>
        <v>0</v>
      </c>
      <c r="C196" s="43">
        <f>ROUND(PAGE1!$Q$96,5)</f>
        <v>0</v>
      </c>
    </row>
    <row r="197" spans="1:3">
      <c r="A197" s="152" t="e">
        <f>$C$1&amp;".E30A.REM.CONSM.APPR.TTL.."</f>
        <v>#N/A</v>
      </c>
      <c r="B197" s="43">
        <f>ROUND(PAGE1!$G$84,5)</f>
        <v>0</v>
      </c>
      <c r="C197" s="43">
        <f>ROUND(PAGE1!$I$84,5)</f>
        <v>0</v>
      </c>
    </row>
    <row r="198" spans="1:3">
      <c r="A198" s="152" t="e">
        <f>$C$1&amp;".E30A.REM.CONSM.DISB.TTL.."</f>
        <v>#N/A</v>
      </c>
      <c r="B198" s="43">
        <f>ROUND(PAGE1!$K$84,5)</f>
        <v>0</v>
      </c>
      <c r="C198" s="43">
        <f>ROUND(PAGE1!$M$84,5)</f>
        <v>0</v>
      </c>
    </row>
    <row r="199" spans="1:3">
      <c r="A199" s="152" t="e">
        <f>$C$1&amp;".E30A.REM.CONSM.OS.TTL.."</f>
        <v>#N/A</v>
      </c>
      <c r="B199" s="43">
        <f>ROUND(PAGE1!$O$84,5)</f>
        <v>0</v>
      </c>
      <c r="C199" s="43">
        <f>ROUND(PAGE1!$Q$84,5)</f>
        <v>0</v>
      </c>
    </row>
    <row r="200" spans="1:3">
      <c r="A200" s="152" t="e">
        <f>$C$1&amp;".E30A.REM.APPR.AGG_TTL..."</f>
        <v>#N/A</v>
      </c>
      <c r="B200" s="43">
        <f>ROUND(PAGE1!$G$98,5)</f>
        <v>0</v>
      </c>
      <c r="C200" s="43">
        <f>ROUND(PAGE1!$I$98,5)</f>
        <v>0</v>
      </c>
    </row>
    <row r="201" spans="1:3">
      <c r="A201" s="152" t="e">
        <f>$C$1&amp;".E30A.REM.DISB.AGG_TTL..."</f>
        <v>#N/A</v>
      </c>
      <c r="B201" s="43">
        <f>ROUND(PAGE1!$K$98,5)</f>
        <v>0</v>
      </c>
      <c r="C201" s="43">
        <f>ROUND(PAGE1!$M$98,5)</f>
        <v>0</v>
      </c>
    </row>
    <row r="202" spans="1:3">
      <c r="A202" s="152" t="e">
        <f>$C$1&amp;".E30A.REM.OS.AGG_TTL..."</f>
        <v>#N/A</v>
      </c>
      <c r="B202" s="43">
        <f>ROUND(PAGE1!$O$98,5)</f>
        <v>0</v>
      </c>
      <c r="C202" s="43">
        <f>ROUND(PAGE1!$Q$98,5)</f>
        <v>0</v>
      </c>
    </row>
    <row r="203" spans="1:3" ht="12" customHeight="1">
      <c r="A203" s="153" t="s">
        <v>160</v>
      </c>
      <c r="B203" s="43" t="s">
        <v>115</v>
      </c>
      <c r="C203" s="43" t="s">
        <v>116</v>
      </c>
    </row>
    <row r="204" spans="1:3">
      <c r="A204" s="146" t="e">
        <f>$C$1&amp;".E30A.REM.PBSEC._INT.0_3_PERCT.APPR."</f>
        <v>#N/A</v>
      </c>
      <c r="B204" s="43">
        <f>ROUND(PAGE2!$G$21,5)</f>
        <v>0</v>
      </c>
      <c r="C204" s="43">
        <f>ROUND(PAGE2!$I$21,5)</f>
        <v>0</v>
      </c>
    </row>
    <row r="205" spans="1:3">
      <c r="A205" s="146" t="e">
        <f>$C$1&amp;".E30A.REM.PBSEC._INT.0_3_PERCT.OS."</f>
        <v>#N/A</v>
      </c>
      <c r="B205" s="43">
        <f>ROUND(PAGE2!$L$21,5)</f>
        <v>0</v>
      </c>
      <c r="C205" s="43">
        <f>ROUND(PAGE2!$N$21,5)</f>
        <v>0</v>
      </c>
    </row>
    <row r="206" spans="1:3">
      <c r="A206" s="146" t="e">
        <f>$C$1&amp;".E30A.REM.PBSEC._INT.3.1_4_PERCT.APPR."</f>
        <v>#N/A</v>
      </c>
      <c r="B206" s="43">
        <f>ROUND(PAGE2!$G$22,5)</f>
        <v>0</v>
      </c>
      <c r="C206" s="43">
        <f>ROUND(PAGE2!$I$22,5)</f>
        <v>0</v>
      </c>
    </row>
    <row r="207" spans="1:3">
      <c r="A207" s="146" t="e">
        <f>$C$1&amp;".E30A.REM.PBSEC._INT.3.1_4_PERCT.OS."</f>
        <v>#N/A</v>
      </c>
      <c r="B207" s="43">
        <f>ROUND(PAGE2!$L$22,5)</f>
        <v>0</v>
      </c>
      <c r="C207" s="43">
        <f>ROUND(PAGE2!$N$22,5)</f>
        <v>0</v>
      </c>
    </row>
    <row r="208" spans="1:3">
      <c r="A208" s="146" t="e">
        <f>$C$1&amp;".E30A.REM.PBSEC._INT.4.1_5_PERCT.APPR."</f>
        <v>#N/A</v>
      </c>
      <c r="B208" s="43">
        <f>ROUND(PAGE2!$G$23,5)</f>
        <v>0</v>
      </c>
      <c r="C208" s="43">
        <f>ROUND(PAGE2!$I$23,5)</f>
        <v>0</v>
      </c>
    </row>
    <row r="209" spans="1:3">
      <c r="A209" s="146" t="e">
        <f>$C$1&amp;".E30A.REM.PBSEC._INT.4.1_5_PERCT.OS."</f>
        <v>#N/A</v>
      </c>
      <c r="B209" s="43">
        <f>ROUND(PAGE2!$L$23,5)</f>
        <v>0</v>
      </c>
      <c r="C209" s="43">
        <f>ROUND(PAGE2!$N$23,5)</f>
        <v>0</v>
      </c>
    </row>
    <row r="210" spans="1:3">
      <c r="A210" s="146" t="e">
        <f>$C$1&amp;".E30A.REM.PBSEC._INT.5.1_6_PERCT.APPR."</f>
        <v>#N/A</v>
      </c>
      <c r="B210" s="43">
        <f>ROUND(PAGE2!$G$24,5)</f>
        <v>0</v>
      </c>
      <c r="C210" s="43">
        <f>ROUND(PAGE2!$I$24,5)</f>
        <v>0</v>
      </c>
    </row>
    <row r="211" spans="1:3">
      <c r="A211" s="146" t="e">
        <f>$C$1&amp;".E30A.REM.PBSEC._INT.5.1_6_PERCT.OS."</f>
        <v>#N/A</v>
      </c>
      <c r="B211" s="43">
        <f>ROUND(PAGE2!$L$24,5)</f>
        <v>0</v>
      </c>
      <c r="C211" s="43">
        <f>ROUND(PAGE2!$N$24,5)</f>
        <v>0</v>
      </c>
    </row>
    <row r="212" spans="1:3">
      <c r="A212" s="146" t="e">
        <f>$C$1&amp;".E30A.REM.PBSEC._INT.6.1_7_PERCT.APPR."</f>
        <v>#N/A</v>
      </c>
      <c r="B212" s="43">
        <f>ROUND(PAGE2!$G$25,5)</f>
        <v>0</v>
      </c>
      <c r="C212" s="43">
        <f>ROUND(PAGE2!$I$25,5)</f>
        <v>0</v>
      </c>
    </row>
    <row r="213" spans="1:3">
      <c r="A213" s="146" t="e">
        <f>$C$1&amp;".E30A.REM.PBSEC._INT.6.1_7_PERCT.OS."</f>
        <v>#N/A</v>
      </c>
      <c r="B213" s="43">
        <f>ROUND(PAGE2!$L$25,5)</f>
        <v>0</v>
      </c>
      <c r="C213" s="43">
        <f>ROUND(PAGE2!$N$25,5)</f>
        <v>0</v>
      </c>
    </row>
    <row r="214" spans="1:3">
      <c r="A214" s="146" t="e">
        <f>$C$1&amp;".E30A.REM.PBSEC._INT.7.1_8_PERCT.APPR."</f>
        <v>#N/A</v>
      </c>
      <c r="B214" s="43">
        <f>ROUND(PAGE2!$G$26,5)</f>
        <v>0</v>
      </c>
      <c r="C214" s="43">
        <f>ROUND(PAGE2!$I$26,5)</f>
        <v>0</v>
      </c>
    </row>
    <row r="215" spans="1:3">
      <c r="A215" s="146" t="e">
        <f>$C$1&amp;".E30A.REM.PBSEC._INT.7.1_8_PERCT.OS."</f>
        <v>#N/A</v>
      </c>
      <c r="B215" s="43">
        <f>ROUND(PAGE2!$L$26,5)</f>
        <v>0</v>
      </c>
      <c r="C215" s="43">
        <f>ROUND(PAGE2!$N$26,5)</f>
        <v>0</v>
      </c>
    </row>
    <row r="216" spans="1:3">
      <c r="A216" s="146" t="e">
        <f>$C$1&amp;".E30A.REM.PBSEC._INT.8.1_9_PERCT.APPR."</f>
        <v>#N/A</v>
      </c>
      <c r="B216" s="43">
        <f>ROUND(PAGE2!$G$27,5)</f>
        <v>0</v>
      </c>
      <c r="C216" s="43">
        <f>ROUND(PAGE2!$I$27,5)</f>
        <v>0</v>
      </c>
    </row>
    <row r="217" spans="1:3">
      <c r="A217" s="146" t="e">
        <f>$C$1&amp;".E30A.REM.PBSEC._INT.8.1_9_PERCT.OS."</f>
        <v>#N/A</v>
      </c>
      <c r="B217" s="43">
        <f>ROUND(PAGE2!$L$27,5)</f>
        <v>0</v>
      </c>
      <c r="C217" s="43">
        <f>ROUND(PAGE2!$N$27,5)</f>
        <v>0</v>
      </c>
    </row>
    <row r="218" spans="1:3">
      <c r="A218" s="146" t="e">
        <f>$C$1&amp;".E30A.REM.PBSEC._INT.9.1_10_PERCT.APPR."</f>
        <v>#N/A</v>
      </c>
      <c r="B218" s="43">
        <f>ROUND(PAGE2!$G$28,5)</f>
        <v>0</v>
      </c>
      <c r="C218" s="43">
        <f>ROUND(PAGE2!$I$28,5)</f>
        <v>0</v>
      </c>
    </row>
    <row r="219" spans="1:3">
      <c r="A219" s="146" t="e">
        <f>$C$1&amp;".E30A.REM.PBSEC._INT.9.1_10_PERCT.OS."</f>
        <v>#N/A</v>
      </c>
      <c r="B219" s="43">
        <f>ROUND(PAGE2!$L$28,5)</f>
        <v>0</v>
      </c>
      <c r="C219" s="43">
        <f>ROUND(PAGE2!$N$28,5)</f>
        <v>0</v>
      </c>
    </row>
    <row r="220" spans="1:3">
      <c r="A220" s="146" t="e">
        <f>$C$1&amp;".E30A.REM.PBSEC._INT.10.1_11_PERCT.APPR."</f>
        <v>#N/A</v>
      </c>
      <c r="B220" s="43">
        <f>ROUND(PAGE2!$G$29,5)</f>
        <v>0</v>
      </c>
      <c r="C220" s="43">
        <f>ROUND(PAGE2!$I$29,5)</f>
        <v>0</v>
      </c>
    </row>
    <row r="221" spans="1:3">
      <c r="A221" s="146" t="e">
        <f>$C$1&amp;".E30A.REM.PBSEC._INT.10.1_11_PERCT.OS."</f>
        <v>#N/A</v>
      </c>
      <c r="B221" s="43">
        <f>ROUND(PAGE2!$L$29,5)</f>
        <v>0</v>
      </c>
      <c r="C221" s="43">
        <f>ROUND(PAGE2!$N$29,5)</f>
        <v>0</v>
      </c>
    </row>
    <row r="222" spans="1:3">
      <c r="A222" s="146" t="e">
        <f>$C$1&amp;".E30A.REM.PBSEC._INT.11.1_12_PERCT.APPR."</f>
        <v>#N/A</v>
      </c>
      <c r="B222" s="43">
        <f>ROUND(PAGE2!$G$30,5)</f>
        <v>0</v>
      </c>
      <c r="C222" s="43">
        <f>ROUND(PAGE2!$I$30,5)</f>
        <v>0</v>
      </c>
    </row>
    <row r="223" spans="1:3">
      <c r="A223" s="146" t="e">
        <f>$C$1&amp;".E30A.REM.PBSEC._INT.11.1_12_PERCT.OS."</f>
        <v>#N/A</v>
      </c>
      <c r="B223" s="43">
        <f>ROUND(PAGE2!$L$30,5)</f>
        <v>0</v>
      </c>
      <c r="C223" s="43">
        <f>ROUND(PAGE2!$N$30,5)</f>
        <v>0</v>
      </c>
    </row>
    <row r="224" spans="1:3">
      <c r="A224" s="146" t="e">
        <f>$C$1&amp;".E30A.REM.PBSEC._INT.12.1_13_PERCT.APPR."</f>
        <v>#N/A</v>
      </c>
      <c r="B224" s="43">
        <f>ROUND(PAGE2!$G$31,5)</f>
        <v>0</v>
      </c>
      <c r="C224" s="43">
        <f>ROUND(PAGE2!$I$31,5)</f>
        <v>0</v>
      </c>
    </row>
    <row r="225" spans="1:3">
      <c r="A225" s="146" t="e">
        <f>$C$1&amp;".E30A.REM.PBSEC._INT.12.1_13_PERCT.OS."</f>
        <v>#N/A</v>
      </c>
      <c r="B225" s="43">
        <f>ROUND(PAGE2!$L$31,5)</f>
        <v>0</v>
      </c>
      <c r="C225" s="43">
        <f>ROUND(PAGE2!$N$31,5)</f>
        <v>0</v>
      </c>
    </row>
    <row r="226" spans="1:3">
      <c r="A226" s="146" t="e">
        <f>$C$1&amp;".E30A.REM.PBSEC._INT.13.1_14_PERCT.APPR."</f>
        <v>#N/A</v>
      </c>
      <c r="B226" s="43">
        <f>ROUND(PAGE2!$G$32,5)</f>
        <v>0</v>
      </c>
      <c r="C226" s="43">
        <f>ROUND(PAGE2!$I$32,5)</f>
        <v>0</v>
      </c>
    </row>
    <row r="227" spans="1:3">
      <c r="A227" s="146" t="e">
        <f>$C$1&amp;".E30A.REM.PBSEC._INT.13.1_14_PERCT.OS."</f>
        <v>#N/A</v>
      </c>
      <c r="B227" s="43">
        <f>ROUND(PAGE2!$L$32,5)</f>
        <v>0</v>
      </c>
      <c r="C227" s="43">
        <f>ROUND(PAGE2!$N$32,5)</f>
        <v>0</v>
      </c>
    </row>
    <row r="228" spans="1:3">
      <c r="A228" s="146" t="e">
        <f>$C$1&amp;".E30A.REM.PBSEC._INT.14.1_15_PERCT.APPR."</f>
        <v>#N/A</v>
      </c>
      <c r="B228" s="43">
        <f>ROUND(PAGE2!$G$33,5)</f>
        <v>0</v>
      </c>
      <c r="C228" s="43">
        <f>ROUND(PAGE2!$I$33,5)</f>
        <v>0</v>
      </c>
    </row>
    <row r="229" spans="1:3">
      <c r="A229" s="146" t="e">
        <f>$C$1&amp;".E30A.REM.PBSEC._INT.14.1_15_PERCT.OS."</f>
        <v>#N/A</v>
      </c>
      <c r="B229" s="43">
        <f>ROUND(PAGE2!$L$33,5)</f>
        <v>0</v>
      </c>
      <c r="C229" s="43">
        <f>ROUND(PAGE2!$N$33,5)</f>
        <v>0</v>
      </c>
    </row>
    <row r="230" spans="1:3">
      <c r="A230" s="146" t="e">
        <f>$C$1&amp;".E30A.REM.PBSEC._INT.OVR_15_PERCT.APPR."</f>
        <v>#N/A</v>
      </c>
      <c r="B230" s="43">
        <f>ROUND(PAGE2!$G$34,5)</f>
        <v>0</v>
      </c>
      <c r="C230" s="43">
        <f>ROUND(PAGE2!$I$34,5)</f>
        <v>0</v>
      </c>
    </row>
    <row r="231" spans="1:3">
      <c r="A231" s="146" t="e">
        <f>$C$1&amp;".E30A.REM.PBSEC._INT.OVR_15_PERCT.OS."</f>
        <v>#N/A</v>
      </c>
      <c r="B231" s="43">
        <f>ROUND(PAGE2!$L$34,5)</f>
        <v>0</v>
      </c>
      <c r="C231" s="43">
        <f>ROUND(PAGE2!$N$34,5)</f>
        <v>0</v>
      </c>
    </row>
    <row r="232" spans="1:3">
      <c r="A232" s="155" t="e">
        <f>$C$1&amp;".E30A.REM.PBSEC.APPR.TTL.."</f>
        <v>#N/A</v>
      </c>
      <c r="B232" s="43">
        <f>ROUND(PAGE2!G20,5)</f>
        <v>0</v>
      </c>
      <c r="C232" s="43">
        <f>ROUND(PAGE2!I20,5)</f>
        <v>0</v>
      </c>
    </row>
    <row r="233" spans="1:3">
      <c r="A233" s="155" t="e">
        <f>$C$1&amp;".E30A.REM.PBSEC.OS.TTL.."</f>
        <v>#N/A</v>
      </c>
      <c r="B233" s="43">
        <f>ROUND(PAGE2!L20,5)</f>
        <v>0</v>
      </c>
      <c r="C233" s="43">
        <f>ROUND(PAGE2!N20,5)</f>
        <v>0</v>
      </c>
    </row>
    <row r="234" spans="1:3">
      <c r="A234" s="146" t="e">
        <f>$C$1&amp;".E30A.REM.PVFIN._INT.0_3_PERCT.APPR."</f>
        <v>#N/A</v>
      </c>
      <c r="B234" s="43">
        <f>ROUND(PAGE2!$G$39,5)</f>
        <v>0</v>
      </c>
      <c r="C234" s="43">
        <f>ROUND(PAGE2!$I$39,5)</f>
        <v>0</v>
      </c>
    </row>
    <row r="235" spans="1:3">
      <c r="A235" s="146" t="e">
        <f>$C$1&amp;".E30A.REM.PVFIN._INT.0_3_PERCT.OS."</f>
        <v>#N/A</v>
      </c>
      <c r="B235" s="43">
        <f>ROUND(PAGE2!$L$39,5)</f>
        <v>0</v>
      </c>
      <c r="C235" s="43">
        <f>ROUND(PAGE2!$N$39,5)</f>
        <v>0</v>
      </c>
    </row>
    <row r="236" spans="1:3">
      <c r="A236" s="146" t="e">
        <f>$C$1&amp;".E30A.REM.PVFIN._INT.3.1_4_PERCT.APPR."</f>
        <v>#N/A</v>
      </c>
      <c r="B236" s="43">
        <f>ROUND(PAGE2!$G$40,5)</f>
        <v>0</v>
      </c>
      <c r="C236" s="43">
        <f>ROUND(PAGE2!$I$40,5)</f>
        <v>0</v>
      </c>
    </row>
    <row r="237" spans="1:3">
      <c r="A237" s="146" t="e">
        <f>$C$1&amp;".E30A.REM.PVFIN._INT.3.1_4_PERCT.OS."</f>
        <v>#N/A</v>
      </c>
      <c r="B237" s="43">
        <f>ROUND(PAGE2!$L$40,5)</f>
        <v>0</v>
      </c>
      <c r="C237" s="43">
        <f>ROUND(PAGE2!$N$40,5)</f>
        <v>0</v>
      </c>
    </row>
    <row r="238" spans="1:3">
      <c r="A238" s="146" t="e">
        <f>$C$1&amp;".E30A.REM.PVFIN._INT.4.1_5_PERCT.APPR."</f>
        <v>#N/A</v>
      </c>
      <c r="B238" s="43">
        <f>ROUND(PAGE2!$G$41,5)</f>
        <v>0</v>
      </c>
      <c r="C238" s="43">
        <f>ROUND(PAGE2!$I$41,5)</f>
        <v>0</v>
      </c>
    </row>
    <row r="239" spans="1:3">
      <c r="A239" s="146" t="e">
        <f>$C$1&amp;".E30A.REM.PVFIN._INT.4.1_5_PERCT.OS."</f>
        <v>#N/A</v>
      </c>
      <c r="B239" s="43">
        <f>ROUND(PAGE2!$L$41,5)</f>
        <v>0</v>
      </c>
      <c r="C239" s="43">
        <f>ROUND(PAGE2!$N$41,5)</f>
        <v>0</v>
      </c>
    </row>
    <row r="240" spans="1:3">
      <c r="A240" s="146" t="e">
        <f>$C$1&amp;".E30A.REM.PVFIN._INT.5.1_6_PERCT.APPR."</f>
        <v>#N/A</v>
      </c>
      <c r="B240" s="43">
        <f>ROUND(PAGE2!$G$42,5)</f>
        <v>0</v>
      </c>
      <c r="C240" s="43">
        <f>ROUND(PAGE2!$I$42,5)</f>
        <v>0</v>
      </c>
    </row>
    <row r="241" spans="1:3">
      <c r="A241" s="146" t="e">
        <f>$C$1&amp;".E30A.REM.PVFIN._INT.5.1_6_PERCT.OS."</f>
        <v>#N/A</v>
      </c>
      <c r="B241" s="43">
        <f>ROUND(PAGE2!$L$42,5)</f>
        <v>0</v>
      </c>
      <c r="C241" s="43">
        <f>ROUND(PAGE2!$N$42,5)</f>
        <v>0</v>
      </c>
    </row>
    <row r="242" spans="1:3">
      <c r="A242" s="146" t="e">
        <f>$C$1&amp;".E30A.REM.PVFIN._INT.6.1_7_PERCT.APPR."</f>
        <v>#N/A</v>
      </c>
      <c r="B242" s="43">
        <f>ROUND(PAGE2!$G$43,5)</f>
        <v>0</v>
      </c>
      <c r="C242" s="43">
        <f>ROUND(PAGE2!$I$43,5)</f>
        <v>0</v>
      </c>
    </row>
    <row r="243" spans="1:3">
      <c r="A243" s="146" t="e">
        <f>$C$1&amp;".E30A.REM.PVFIN._INT.6.1_7_PERCT.OS."</f>
        <v>#N/A</v>
      </c>
      <c r="B243" s="43">
        <f>ROUND(PAGE2!$L$43,5)</f>
        <v>0</v>
      </c>
      <c r="C243" s="43">
        <f>ROUND(PAGE2!$N$43,5)</f>
        <v>0</v>
      </c>
    </row>
    <row r="244" spans="1:3">
      <c r="A244" s="146" t="e">
        <f>$C$1&amp;".E30A.REM.PVFIN._INT.7.1_8_PERCT.APPR."</f>
        <v>#N/A</v>
      </c>
      <c r="B244" s="43">
        <f>ROUND(PAGE2!$G$44,5)</f>
        <v>0</v>
      </c>
      <c r="C244" s="43">
        <f>ROUND(PAGE2!$I$44,5)</f>
        <v>0</v>
      </c>
    </row>
    <row r="245" spans="1:3">
      <c r="A245" s="146" t="e">
        <f>$C$1&amp;".E30A.REM.PVFIN._INT.7.1_8_PERCT.OS."</f>
        <v>#N/A</v>
      </c>
      <c r="B245" s="43">
        <f>ROUND(PAGE2!$L$44,5)</f>
        <v>0</v>
      </c>
      <c r="C245" s="43">
        <f>ROUND(PAGE2!$N$44,5)</f>
        <v>0</v>
      </c>
    </row>
    <row r="246" spans="1:3">
      <c r="A246" s="146" t="e">
        <f>$C$1&amp;".E30A.REM.PVFIN._INT.8.1_9_PERCT.APPR."</f>
        <v>#N/A</v>
      </c>
      <c r="B246" s="43">
        <f>ROUND(PAGE2!$G$45,5)</f>
        <v>0</v>
      </c>
      <c r="C246" s="43">
        <f>ROUND(PAGE2!$I$45,5)</f>
        <v>0</v>
      </c>
    </row>
    <row r="247" spans="1:3">
      <c r="A247" s="146" t="e">
        <f>$C$1&amp;".E30A.REM.PVFIN._INT.8.1_9_PERCT.OS."</f>
        <v>#N/A</v>
      </c>
      <c r="B247" s="43">
        <f>ROUND(PAGE2!$L$45,5)</f>
        <v>0</v>
      </c>
      <c r="C247" s="43">
        <f>ROUND(PAGE2!$N$45,5)</f>
        <v>0</v>
      </c>
    </row>
    <row r="248" spans="1:3">
      <c r="A248" s="146" t="e">
        <f>$C$1&amp;".E30A.REM.PVFIN._INT.9.1_10_PERCT.APPR."</f>
        <v>#N/A</v>
      </c>
      <c r="B248" s="43">
        <f>ROUND(PAGE2!$G$46,5)</f>
        <v>0</v>
      </c>
      <c r="C248" s="43">
        <f>ROUND(PAGE2!$I$46,5)</f>
        <v>0</v>
      </c>
    </row>
    <row r="249" spans="1:3">
      <c r="A249" s="146" t="e">
        <f>$C$1&amp;".E30A.REM.PVFIN._INT.9.1_10_PERCT.OS."</f>
        <v>#N/A</v>
      </c>
      <c r="B249" s="43">
        <f>ROUND(PAGE2!$L$46,5)</f>
        <v>0</v>
      </c>
      <c r="C249" s="43">
        <f>ROUND(PAGE2!$N$46,5)</f>
        <v>0</v>
      </c>
    </row>
    <row r="250" spans="1:3">
      <c r="A250" s="146" t="e">
        <f>$C$1&amp;".E30A.REM.PVFIN._INT.10.1_11_PERCT.APPR."</f>
        <v>#N/A</v>
      </c>
      <c r="B250" s="43">
        <f>ROUND(PAGE2!$G$47,5)</f>
        <v>0</v>
      </c>
      <c r="C250" s="43">
        <f>ROUND(PAGE2!$I$47,5)</f>
        <v>0</v>
      </c>
    </row>
    <row r="251" spans="1:3">
      <c r="A251" s="146" t="e">
        <f>$C$1&amp;".E30A.REM.PVFIN._INT.10.1_11_PERCT.OS."</f>
        <v>#N/A</v>
      </c>
      <c r="B251" s="43">
        <f>ROUND(PAGE2!$L$47,5)</f>
        <v>0</v>
      </c>
      <c r="C251" s="43">
        <f>ROUND(PAGE2!$N$47,5)</f>
        <v>0</v>
      </c>
    </row>
    <row r="252" spans="1:3">
      <c r="A252" s="146" t="e">
        <f>$C$1&amp;".E30A.REM.PVFIN._INT.11.1_12_PERCT.APPR."</f>
        <v>#N/A</v>
      </c>
      <c r="B252" s="43">
        <f>ROUND(PAGE2!$G$48,5)</f>
        <v>0</v>
      </c>
      <c r="C252" s="43">
        <f>ROUND(PAGE2!$I$48,5)</f>
        <v>0</v>
      </c>
    </row>
    <row r="253" spans="1:3">
      <c r="A253" s="146" t="e">
        <f>$C$1&amp;".E30A.REM.PVFIN._INT.11.1_12_PERCT.OS."</f>
        <v>#N/A</v>
      </c>
      <c r="B253" s="43">
        <f>ROUND(PAGE2!$L$48,5)</f>
        <v>0</v>
      </c>
      <c r="C253" s="43">
        <f>ROUND(PAGE2!$N$48,5)</f>
        <v>0</v>
      </c>
    </row>
    <row r="254" spans="1:3">
      <c r="A254" s="146" t="e">
        <f>$C$1&amp;".E30A.REM.PVFIN._INT.12.1_13_PERCT.APPR."</f>
        <v>#N/A</v>
      </c>
      <c r="B254" s="43">
        <f>ROUND(PAGE2!$G$49,5)</f>
        <v>0</v>
      </c>
      <c r="C254" s="43">
        <f>ROUND(PAGE2!$I$49,5)</f>
        <v>0</v>
      </c>
    </row>
    <row r="255" spans="1:3">
      <c r="A255" s="146" t="e">
        <f>$C$1&amp;".E30A.REM.PVFIN._INT.12.1_13_PERCT.OS."</f>
        <v>#N/A</v>
      </c>
      <c r="B255" s="43">
        <f>ROUND(PAGE2!$L$49,5)</f>
        <v>0</v>
      </c>
      <c r="C255" s="43">
        <f>ROUND(PAGE2!$N$49,5)</f>
        <v>0</v>
      </c>
    </row>
    <row r="256" spans="1:3">
      <c r="A256" s="146" t="e">
        <f>$C$1&amp;".E30A.REM.PVFIN._INT.13.1_14_PERCT.APPR."</f>
        <v>#N/A</v>
      </c>
      <c r="B256" s="43">
        <f>ROUND(PAGE2!$G$50,5)</f>
        <v>0</v>
      </c>
      <c r="C256" s="43">
        <f>ROUND(PAGE2!$I$50,5)</f>
        <v>0</v>
      </c>
    </row>
    <row r="257" spans="1:3">
      <c r="A257" s="146" t="e">
        <f>$C$1&amp;".E30A.REM.PVFIN._INT.13.1_14_PERCT.OS."</f>
        <v>#N/A</v>
      </c>
      <c r="B257" s="43">
        <f>ROUND(PAGE2!$L$50,5)</f>
        <v>0</v>
      </c>
      <c r="C257" s="43">
        <f>ROUND(PAGE2!$N$50,5)</f>
        <v>0</v>
      </c>
    </row>
    <row r="258" spans="1:3">
      <c r="A258" s="146" t="e">
        <f>$C$1&amp;".E30A.REM.PVFIN._INT.14.1_15_PERCT.APPR."</f>
        <v>#N/A</v>
      </c>
      <c r="B258" s="43">
        <f>ROUND(PAGE2!$G$51,5)</f>
        <v>0</v>
      </c>
      <c r="C258" s="43">
        <f>ROUND(PAGE2!$I$51,5)</f>
        <v>0</v>
      </c>
    </row>
    <row r="259" spans="1:3">
      <c r="A259" s="146" t="e">
        <f>$C$1&amp;".E30A.REM.PVFIN._INT.14.1_15_PERCT.OS."</f>
        <v>#N/A</v>
      </c>
      <c r="B259" s="43">
        <f>ROUND(PAGE2!$L$51,5)</f>
        <v>0</v>
      </c>
      <c r="C259" s="43">
        <f>ROUND(PAGE2!$N$51,5)</f>
        <v>0</v>
      </c>
    </row>
    <row r="260" spans="1:3">
      <c r="A260" s="146" t="e">
        <f>$C$1&amp;".E30A.REM.PVFIN._INT.OVR_15_PERCT.APPR."</f>
        <v>#N/A</v>
      </c>
      <c r="B260" s="43">
        <f>ROUND(PAGE2!$G$52,5)</f>
        <v>0</v>
      </c>
      <c r="C260" s="43">
        <f>ROUND(PAGE2!$I$52,5)</f>
        <v>0</v>
      </c>
    </row>
    <row r="261" spans="1:3">
      <c r="A261" s="146" t="e">
        <f>$C$1&amp;".E30A.REM.PVFIN._INT.OVR_15_PERCT.OS."</f>
        <v>#N/A</v>
      </c>
      <c r="B261" s="43">
        <f>ROUND(PAGE2!$L$52,5)</f>
        <v>0</v>
      </c>
      <c r="C261" s="43">
        <f>ROUND(PAGE2!$N$52,5)</f>
        <v>0</v>
      </c>
    </row>
    <row r="262" spans="1:3">
      <c r="A262" s="155" t="e">
        <f>$C$1&amp;".E30A.REM.PVFIN.APPR.TTL.."</f>
        <v>#N/A</v>
      </c>
      <c r="B262" s="43">
        <f>ROUND(PAGE2!G38,5)</f>
        <v>0</v>
      </c>
      <c r="C262" s="43">
        <f>ROUND(PAGE2!I38,5)</f>
        <v>0</v>
      </c>
    </row>
    <row r="263" spans="1:3">
      <c r="A263" s="155" t="e">
        <f>$C$1&amp;".E30A.REM.PVFIN.OS.TTL.."</f>
        <v>#N/A</v>
      </c>
      <c r="B263" s="43">
        <f>ROUND(PAGE2!L38,5)</f>
        <v>0</v>
      </c>
      <c r="C263" s="43">
        <f>ROUND(PAGE2!N38,5)</f>
        <v>0</v>
      </c>
    </row>
    <row r="264" spans="1:3">
      <c r="A264" s="146" t="e">
        <f>$C$1&amp;".E30A.REM.IBUS._INT.0_3_PERCT.APPR."</f>
        <v>#N/A</v>
      </c>
      <c r="B264" s="43">
        <f>ROUND(PAGE2!$G$57,5)</f>
        <v>0</v>
      </c>
      <c r="C264" s="43">
        <f>ROUND(PAGE2!$I$57,5)</f>
        <v>0</v>
      </c>
    </row>
    <row r="265" spans="1:3">
      <c r="A265" s="146" t="e">
        <f>$C$1&amp;".E30A.REM.IBUS._INT.0_3_PERCT.OS."</f>
        <v>#N/A</v>
      </c>
      <c r="B265" s="43">
        <f>ROUND(PAGE2!$L$57,5)</f>
        <v>0</v>
      </c>
      <c r="C265" s="43">
        <f>ROUND(PAGE2!$N$57,5)</f>
        <v>0</v>
      </c>
    </row>
    <row r="266" spans="1:3">
      <c r="A266" s="146" t="e">
        <f>$C$1&amp;".E30A.REM.IBUS._INT.3.1_4_PERCT.APPR."</f>
        <v>#N/A</v>
      </c>
      <c r="B266" s="43">
        <f>ROUND(PAGE2!$G$58,5)</f>
        <v>0</v>
      </c>
      <c r="C266" s="43">
        <f>ROUND(PAGE2!$I$58,5)</f>
        <v>0</v>
      </c>
    </row>
    <row r="267" spans="1:3">
      <c r="A267" s="146" t="e">
        <f>$C$1&amp;".E30A.REM.IBUS._INT.3.1_4_PERCT.OS."</f>
        <v>#N/A</v>
      </c>
      <c r="B267" s="43">
        <f>ROUND(PAGE2!$L$58,5)</f>
        <v>0</v>
      </c>
      <c r="C267" s="43">
        <f>ROUND(PAGE2!$N$58,5)</f>
        <v>0</v>
      </c>
    </row>
    <row r="268" spans="1:3">
      <c r="A268" s="146" t="e">
        <f>$C$1&amp;".E30A.REM.IBUS._INT.4.1_5_PERCT.APPR."</f>
        <v>#N/A</v>
      </c>
      <c r="B268" s="43">
        <f>ROUND(PAGE2!$G$59,5)</f>
        <v>0</v>
      </c>
      <c r="C268" s="43">
        <f>ROUND(PAGE2!$I$59,5)</f>
        <v>0</v>
      </c>
    </row>
    <row r="269" spans="1:3">
      <c r="A269" s="146" t="e">
        <f>$C$1&amp;".E30A.REM.IBUS._INT.4.1_5_PERCT.OS."</f>
        <v>#N/A</v>
      </c>
      <c r="B269" s="43">
        <f>ROUND(PAGE2!$L$59,5)</f>
        <v>0</v>
      </c>
      <c r="C269" s="43">
        <f>ROUND(PAGE2!$N$59,5)</f>
        <v>0</v>
      </c>
    </row>
    <row r="270" spans="1:3">
      <c r="A270" s="146" t="e">
        <f>$C$1&amp;".E30A.REM.IBUS._INT.5.1_6_PERCT.APPR."</f>
        <v>#N/A</v>
      </c>
      <c r="B270" s="43">
        <f>ROUND(PAGE2!$G$60,5)</f>
        <v>0</v>
      </c>
      <c r="C270" s="43">
        <f>ROUND(PAGE2!$I$60,5)</f>
        <v>0</v>
      </c>
    </row>
    <row r="271" spans="1:3">
      <c r="A271" s="146" t="e">
        <f>$C$1&amp;".E30A.REM.IBUS._INT.5.1_6_PERCT.OS."</f>
        <v>#N/A</v>
      </c>
      <c r="B271" s="43">
        <f>ROUND(PAGE2!$L$60,5)</f>
        <v>0</v>
      </c>
      <c r="C271" s="43">
        <f>ROUND(PAGE2!$N$60,5)</f>
        <v>0</v>
      </c>
    </row>
    <row r="272" spans="1:3">
      <c r="A272" s="146" t="e">
        <f>$C$1&amp;".E30A.REM.IBUS._INT.6.1_7_PERCT.APPR."</f>
        <v>#N/A</v>
      </c>
      <c r="B272" s="43">
        <f>ROUND(PAGE2!$G$61,5)</f>
        <v>0</v>
      </c>
      <c r="C272" s="43">
        <f>ROUND(PAGE2!$I$61,5)</f>
        <v>0</v>
      </c>
    </row>
    <row r="273" spans="1:3">
      <c r="A273" s="146" t="e">
        <f>$C$1&amp;".E30A.REM.IBUS._INT.6.1_7_PERCT.OS."</f>
        <v>#N/A</v>
      </c>
      <c r="B273" s="43">
        <f>ROUND(PAGE2!$L$61,5)</f>
        <v>0</v>
      </c>
      <c r="C273" s="43">
        <f>ROUND(PAGE2!$N$61,5)</f>
        <v>0</v>
      </c>
    </row>
    <row r="274" spans="1:3">
      <c r="A274" s="146" t="e">
        <f>$C$1&amp;".E30A.REM.IBUS._INT.7.1_8_PERCT.APPR."</f>
        <v>#N/A</v>
      </c>
      <c r="B274" s="43">
        <f>ROUND(PAGE2!$G$62,5)</f>
        <v>0</v>
      </c>
      <c r="C274" s="43">
        <f>ROUND(PAGE2!$I$62,5)</f>
        <v>0</v>
      </c>
    </row>
    <row r="275" spans="1:3">
      <c r="A275" s="146" t="e">
        <f>$C$1&amp;".E30A.REM.IBUS._INT.7.1_8_PERCT.OS."</f>
        <v>#N/A</v>
      </c>
      <c r="B275" s="43">
        <f>ROUND(PAGE2!$L$62,5)</f>
        <v>0</v>
      </c>
      <c r="C275" s="43">
        <f>ROUND(PAGE2!$N$62,5)</f>
        <v>0</v>
      </c>
    </row>
    <row r="276" spans="1:3">
      <c r="A276" s="146" t="e">
        <f>$C$1&amp;".E30A.REM.IBUS._INT.8.1_9_PERCT.APPR."</f>
        <v>#N/A</v>
      </c>
      <c r="B276" s="43">
        <f>ROUND(PAGE2!$G$63,5)</f>
        <v>0</v>
      </c>
      <c r="C276" s="43">
        <f>ROUND(PAGE2!$I$63,5)</f>
        <v>0</v>
      </c>
    </row>
    <row r="277" spans="1:3">
      <c r="A277" s="146" t="e">
        <f>$C$1&amp;".E30A.REM.IBUS._INT.8.1_9_PERCT.OS."</f>
        <v>#N/A</v>
      </c>
      <c r="B277" s="43">
        <f>ROUND(PAGE2!$L$63,5)</f>
        <v>0</v>
      </c>
      <c r="C277" s="43">
        <f>ROUND(PAGE2!$N$63,5)</f>
        <v>0</v>
      </c>
    </row>
    <row r="278" spans="1:3">
      <c r="A278" s="146" t="e">
        <f>$C$1&amp;".E30A.REM.IBUS._INT.9.1_10_PERCT.APPR."</f>
        <v>#N/A</v>
      </c>
      <c r="B278" s="43">
        <f>ROUND(PAGE2!$G$64,5)</f>
        <v>0</v>
      </c>
      <c r="C278" s="43">
        <f>ROUND(PAGE2!$I$64,5)</f>
        <v>0</v>
      </c>
    </row>
    <row r="279" spans="1:3">
      <c r="A279" s="146" t="e">
        <f>$C$1&amp;".E30A.REM.IBUS._INT.9.1_10_PERCT.OS."</f>
        <v>#N/A</v>
      </c>
      <c r="B279" s="43">
        <f>ROUND(PAGE2!$L$64,5)</f>
        <v>0</v>
      </c>
      <c r="C279" s="43">
        <f>ROUND(PAGE2!$N$64,5)</f>
        <v>0</v>
      </c>
    </row>
    <row r="280" spans="1:3">
      <c r="A280" s="146" t="e">
        <f>$C$1&amp;".E30A.REM.IBUS._INT.10.1_11_PERCT.APPR."</f>
        <v>#N/A</v>
      </c>
      <c r="B280" s="43">
        <f>ROUND(PAGE2!$G$65,5)</f>
        <v>0</v>
      </c>
      <c r="C280" s="43">
        <f>ROUND(PAGE2!$I$65,5)</f>
        <v>0</v>
      </c>
    </row>
    <row r="281" spans="1:3">
      <c r="A281" s="146" t="e">
        <f>$C$1&amp;".E30A.REM.IBUS._INT.10.1_11_PERCT.OS."</f>
        <v>#N/A</v>
      </c>
      <c r="B281" s="43">
        <f>ROUND(PAGE2!$L$65,5)</f>
        <v>0</v>
      </c>
      <c r="C281" s="43">
        <f>ROUND(PAGE2!$N$65,5)</f>
        <v>0</v>
      </c>
    </row>
    <row r="282" spans="1:3">
      <c r="A282" s="146" t="e">
        <f>$C$1&amp;".E30A.REM.IBUS._INT.11.1_12_PERCT.APPR."</f>
        <v>#N/A</v>
      </c>
      <c r="B282" s="43">
        <f>ROUND(PAGE2!$G$66,5)</f>
        <v>0</v>
      </c>
      <c r="C282" s="43">
        <f>ROUND(PAGE2!$I$66,5)</f>
        <v>0</v>
      </c>
    </row>
    <row r="283" spans="1:3">
      <c r="A283" s="146" t="e">
        <f>$C$1&amp;".E30A.REM.IBUS._INT.11.1_12_PERCT.OS."</f>
        <v>#N/A</v>
      </c>
      <c r="B283" s="43">
        <f>ROUND(PAGE2!$L$66,5)</f>
        <v>0</v>
      </c>
      <c r="C283" s="43">
        <f>ROUND(PAGE2!$N$66,5)</f>
        <v>0</v>
      </c>
    </row>
    <row r="284" spans="1:3">
      <c r="A284" s="146" t="e">
        <f>$C$1&amp;".E30A.REM.IBUS._INT.12.1_13_PERCT.APPR."</f>
        <v>#N/A</v>
      </c>
      <c r="B284" s="43">
        <f>ROUND(PAGE2!$G$67,5)</f>
        <v>0</v>
      </c>
      <c r="C284" s="43">
        <f>ROUND(PAGE2!$I$67,5)</f>
        <v>0</v>
      </c>
    </row>
    <row r="285" spans="1:3">
      <c r="A285" s="146" t="e">
        <f>$C$1&amp;".E30A.REM.IBUS._INT.12.1_13_PERCT.OS."</f>
        <v>#N/A</v>
      </c>
      <c r="B285" s="43">
        <f>ROUND(PAGE2!$L$67,5)</f>
        <v>0</v>
      </c>
      <c r="C285" s="43">
        <f>ROUND(PAGE2!$N$67,5)</f>
        <v>0</v>
      </c>
    </row>
    <row r="286" spans="1:3">
      <c r="A286" s="146" t="e">
        <f>$C$1&amp;".E30A.REM.IBUS._INT.13.1_14_PERCT.APPR."</f>
        <v>#N/A</v>
      </c>
      <c r="B286" s="43">
        <f>ROUND(PAGE2!$G$68,5)</f>
        <v>0</v>
      </c>
      <c r="C286" s="43">
        <f>ROUND(PAGE2!$I$68,5)</f>
        <v>0</v>
      </c>
    </row>
    <row r="287" spans="1:3">
      <c r="A287" s="146" t="e">
        <f>$C$1&amp;".E30A.REM.IBUS._INT.13.1_14_PERCT.OS."</f>
        <v>#N/A</v>
      </c>
      <c r="B287" s="43">
        <f>ROUND(PAGE2!$L$68,5)</f>
        <v>0</v>
      </c>
      <c r="C287" s="43">
        <f>ROUND(PAGE2!$N$68,5)</f>
        <v>0</v>
      </c>
    </row>
    <row r="288" spans="1:3">
      <c r="A288" s="146" t="e">
        <f>$C$1&amp;".E30A.REM.IBUS._INT.14.1_15_PERCT.APPR."</f>
        <v>#N/A</v>
      </c>
      <c r="B288" s="43">
        <f>ROUND(PAGE2!$G$69,5)</f>
        <v>0</v>
      </c>
      <c r="C288" s="43">
        <f>ROUND(PAGE2!$I$69,5)</f>
        <v>0</v>
      </c>
    </row>
    <row r="289" spans="1:3">
      <c r="A289" s="146" t="e">
        <f>$C$1&amp;".E30A.REM.IBUS._INT.14.1_15_PERCT.OS."</f>
        <v>#N/A</v>
      </c>
      <c r="B289" s="43">
        <f>ROUND(PAGE2!$L$69,5)</f>
        <v>0</v>
      </c>
      <c r="C289" s="43">
        <f>ROUND(PAGE2!$N$69,5)</f>
        <v>0</v>
      </c>
    </row>
    <row r="290" spans="1:3">
      <c r="A290" s="146" t="e">
        <f>$C$1&amp;".E30A.REM.IBUS._INT.OVR_15_PERCT.APPR."</f>
        <v>#N/A</v>
      </c>
      <c r="B290" s="43">
        <f>ROUND(PAGE2!$G$70,5)</f>
        <v>0</v>
      </c>
      <c r="C290" s="43">
        <f>ROUND(PAGE2!$I$70,5)</f>
        <v>0</v>
      </c>
    </row>
    <row r="291" spans="1:3">
      <c r="A291" s="146" t="e">
        <f>$C$1&amp;".E30A.REM.IBUS._INT.OVR_15_PERCT.OS."</f>
        <v>#N/A</v>
      </c>
      <c r="B291" s="43">
        <f>ROUND(PAGE2!$L$70,5)</f>
        <v>0</v>
      </c>
      <c r="C291" s="43">
        <f>ROUND(PAGE2!$N$70,5)</f>
        <v>0</v>
      </c>
    </row>
    <row r="292" spans="1:3">
      <c r="A292" s="155" t="e">
        <f>$C$1&amp;".E30A.REM.IBUS.APPR.TTL.."</f>
        <v>#N/A</v>
      </c>
      <c r="B292" s="43">
        <f>ROUND(PAGE2!G56,5)</f>
        <v>0</v>
      </c>
      <c r="C292" s="43">
        <f>ROUND(PAGE2!I56,5)</f>
        <v>0</v>
      </c>
    </row>
    <row r="293" spans="1:3">
      <c r="A293" s="155" t="e">
        <f>$C$1&amp;".E30A.REM.IBUS.OS.TTL.."</f>
        <v>#N/A</v>
      </c>
      <c r="B293" s="43">
        <f>ROUND(PAGE2!L56,5)</f>
        <v>0</v>
      </c>
      <c r="C293" s="43">
        <f>ROUND(PAGE2!N56,5)</f>
        <v>0</v>
      </c>
    </row>
    <row r="294" spans="1:3">
      <c r="A294" s="146" t="e">
        <f>$C$1&amp;".E30A.REM.UIBUS._INT.0_3_PERCT.APPR."</f>
        <v>#N/A</v>
      </c>
      <c r="B294" s="43">
        <f>ROUND(PAGE2!$G$75,5)</f>
        <v>0</v>
      </c>
      <c r="C294" s="43">
        <f>ROUND(PAGE2!$I$75,5)</f>
        <v>0</v>
      </c>
    </row>
    <row r="295" spans="1:3">
      <c r="A295" s="146" t="e">
        <f>$C$1&amp;".E30A.REM.UIBUS._INT.0_3_PERCT.OS."</f>
        <v>#N/A</v>
      </c>
      <c r="B295" s="43">
        <f>ROUND(PAGE2!$L$75,5)</f>
        <v>0</v>
      </c>
      <c r="C295" s="43">
        <f>ROUND(PAGE2!$N$75,5)</f>
        <v>0</v>
      </c>
    </row>
    <row r="296" spans="1:3">
      <c r="A296" s="146" t="e">
        <f>$C$1&amp;".E30A.REM.UIBUS._INT.3.1_4_PERCT.APPR."</f>
        <v>#N/A</v>
      </c>
      <c r="B296" s="43">
        <f>ROUND(PAGE2!$G$76,5)</f>
        <v>0</v>
      </c>
      <c r="C296" s="43">
        <f>ROUND(PAGE2!$I$76,5)</f>
        <v>0</v>
      </c>
    </row>
    <row r="297" spans="1:3">
      <c r="A297" s="146" t="e">
        <f>$C$1&amp;".E30A.REM.UIBUS._INT.3.1_4_PERCT.OS."</f>
        <v>#N/A</v>
      </c>
      <c r="B297" s="43">
        <f>ROUND(PAGE2!$L$76,5)</f>
        <v>0</v>
      </c>
      <c r="C297" s="43">
        <f>ROUND(PAGE2!$N$76,5)</f>
        <v>0</v>
      </c>
    </row>
    <row r="298" spans="1:3">
      <c r="A298" s="146" t="e">
        <f>$C$1&amp;".E30A.REM.UIBUS._INT.4.1_5_PERCT.APPR."</f>
        <v>#N/A</v>
      </c>
      <c r="B298" s="43">
        <f>ROUND(PAGE2!$G$77,5)</f>
        <v>0</v>
      </c>
      <c r="C298" s="43">
        <f>ROUND(PAGE2!$I$77,5)</f>
        <v>0</v>
      </c>
    </row>
    <row r="299" spans="1:3">
      <c r="A299" s="146" t="e">
        <f>$C$1&amp;".E30A.REM.UIBUS._INT.4.1_5_PERCT.OS."</f>
        <v>#N/A</v>
      </c>
      <c r="B299" s="43">
        <f>ROUND(PAGE2!$L$77,5)</f>
        <v>0</v>
      </c>
      <c r="C299" s="43">
        <f>ROUND(PAGE2!$N$77,5)</f>
        <v>0</v>
      </c>
    </row>
    <row r="300" spans="1:3">
      <c r="A300" s="146" t="e">
        <f>$C$1&amp;".E30A.REM.UIBUS._INT.5.1_6_PERCT.APPR."</f>
        <v>#N/A</v>
      </c>
      <c r="B300" s="43">
        <f>ROUND(PAGE2!$G$78,5)</f>
        <v>0</v>
      </c>
      <c r="C300" s="43">
        <f>ROUND(PAGE2!$I$78,5)</f>
        <v>0</v>
      </c>
    </row>
    <row r="301" spans="1:3">
      <c r="A301" s="146" t="e">
        <f>$C$1&amp;".E30A.REM.UIBUS._INT.5.1_6_PERCT.OS."</f>
        <v>#N/A</v>
      </c>
      <c r="B301" s="43">
        <f>ROUND(PAGE2!$L$78,5)</f>
        <v>0</v>
      </c>
      <c r="C301" s="43">
        <f>ROUND(PAGE2!$N$78,5)</f>
        <v>0</v>
      </c>
    </row>
    <row r="302" spans="1:3">
      <c r="A302" s="146" t="e">
        <f>$C$1&amp;".E30A.REM.UIBUS._INT.6.1_7_PERCT.APPR."</f>
        <v>#N/A</v>
      </c>
      <c r="B302" s="43">
        <f>ROUND(PAGE2!$G$79,5)</f>
        <v>0</v>
      </c>
      <c r="C302" s="43">
        <f>ROUND(PAGE2!$I$79,5)</f>
        <v>0</v>
      </c>
    </row>
    <row r="303" spans="1:3">
      <c r="A303" s="146" t="e">
        <f>$C$1&amp;".E30A.REM.UIBUS._INT.6.1_7_PERCT.OS."</f>
        <v>#N/A</v>
      </c>
      <c r="B303" s="43">
        <f>ROUND(PAGE2!$L$79,5)</f>
        <v>0</v>
      </c>
      <c r="C303" s="43">
        <f>ROUND(PAGE2!$N$79,5)</f>
        <v>0</v>
      </c>
    </row>
    <row r="304" spans="1:3">
      <c r="A304" s="146" t="e">
        <f>$C$1&amp;".E30A.REM.UIBUS._INT.7.1_8_PERCT.APPR."</f>
        <v>#N/A</v>
      </c>
      <c r="B304" s="43">
        <f>ROUND(PAGE2!$G$80,5)</f>
        <v>0</v>
      </c>
      <c r="C304" s="43">
        <f>ROUND(PAGE2!$I$80,5)</f>
        <v>0</v>
      </c>
    </row>
    <row r="305" spans="1:3">
      <c r="A305" s="146" t="e">
        <f>$C$1&amp;".E30A.REM.UIBUS._INT.7.1_8_PERCT.OS."</f>
        <v>#N/A</v>
      </c>
      <c r="B305" s="43">
        <f>ROUND(PAGE2!$L$80,5)</f>
        <v>0</v>
      </c>
      <c r="C305" s="43">
        <f>ROUND(PAGE2!$N$80,5)</f>
        <v>0</v>
      </c>
    </row>
    <row r="306" spans="1:3">
      <c r="A306" s="146" t="e">
        <f>$C$1&amp;".E30A.REM.UIBUS._INT.8.1_9_PERCT.APPR."</f>
        <v>#N/A</v>
      </c>
      <c r="B306" s="43">
        <f>ROUND(PAGE2!$G$81,5)</f>
        <v>0</v>
      </c>
      <c r="C306" s="43">
        <f>ROUND(PAGE2!$I$81,5)</f>
        <v>0</v>
      </c>
    </row>
    <row r="307" spans="1:3">
      <c r="A307" s="146" t="e">
        <f>$C$1&amp;".E30A.REM.UIBUS._INT.8.1_9_PERCT.OS."</f>
        <v>#N/A</v>
      </c>
      <c r="B307" s="43">
        <f>ROUND(PAGE2!$L$81,5)</f>
        <v>0</v>
      </c>
      <c r="C307" s="43">
        <f>ROUND(PAGE2!$N$81,5)</f>
        <v>0</v>
      </c>
    </row>
    <row r="308" spans="1:3">
      <c r="A308" s="146" t="e">
        <f>$C$1&amp;".E30A.REM.UIBUS._INT.9.1_10_PERCT.APPR."</f>
        <v>#N/A</v>
      </c>
      <c r="B308" s="43">
        <f>ROUND(PAGE2!$G$82,5)</f>
        <v>0</v>
      </c>
      <c r="C308" s="43">
        <f>ROUND(PAGE2!$I$82,5)</f>
        <v>0</v>
      </c>
    </row>
    <row r="309" spans="1:3">
      <c r="A309" s="146" t="e">
        <f>$C$1&amp;".E30A.REM.UIBUS._INT.9.1_10_PERCT.OS."</f>
        <v>#N/A</v>
      </c>
      <c r="B309" s="43">
        <f>ROUND(PAGE2!$L$82,5)</f>
        <v>0</v>
      </c>
      <c r="C309" s="43">
        <f>ROUND(PAGE2!$N$82,5)</f>
        <v>0</v>
      </c>
    </row>
    <row r="310" spans="1:3">
      <c r="A310" s="146" t="e">
        <f>$C$1&amp;".E30A.REM.UIBUS._INT.10.1_11_PERCT.APPR."</f>
        <v>#N/A</v>
      </c>
      <c r="B310" s="43">
        <f>ROUND(PAGE2!$G$83,5)</f>
        <v>0</v>
      </c>
      <c r="C310" s="43">
        <f>ROUND(PAGE2!$I$83,5)</f>
        <v>0</v>
      </c>
    </row>
    <row r="311" spans="1:3">
      <c r="A311" s="146" t="e">
        <f>$C$1&amp;".E30A.REM.UIBUS._INT.10.1_11_PERCT.OS."</f>
        <v>#N/A</v>
      </c>
      <c r="B311" s="43">
        <f>ROUND(PAGE2!$L$83,5)</f>
        <v>0</v>
      </c>
      <c r="C311" s="43">
        <f>ROUND(PAGE2!$N$83,5)</f>
        <v>0</v>
      </c>
    </row>
    <row r="312" spans="1:3">
      <c r="A312" s="146" t="e">
        <f>$C$1&amp;".E30A.REM.UIBUS._INT.11.1_12_PERCT.APPR."</f>
        <v>#N/A</v>
      </c>
      <c r="B312" s="43">
        <f>ROUND(PAGE2!$G$84,5)</f>
        <v>0</v>
      </c>
      <c r="C312" s="43">
        <f>ROUND(PAGE2!$I$84,5)</f>
        <v>0</v>
      </c>
    </row>
    <row r="313" spans="1:3">
      <c r="A313" s="146" t="e">
        <f>$C$1&amp;".E30A.REM.UIBUS._INT.11.1_12_PERCT.OS."</f>
        <v>#N/A</v>
      </c>
      <c r="B313" s="43">
        <f>ROUND(PAGE2!$L$84,5)</f>
        <v>0</v>
      </c>
      <c r="C313" s="43">
        <f>ROUND(PAGE2!$N$84,5)</f>
        <v>0</v>
      </c>
    </row>
    <row r="314" spans="1:3">
      <c r="A314" s="146" t="e">
        <f>$C$1&amp;".E30A.REM.UIBUS._INT.12.1_13_PERCT.APPR."</f>
        <v>#N/A</v>
      </c>
      <c r="B314" s="43">
        <f>ROUND(PAGE2!$G$85,5)</f>
        <v>0</v>
      </c>
      <c r="C314" s="43">
        <f>ROUND(PAGE2!$I$85,5)</f>
        <v>0</v>
      </c>
    </row>
    <row r="315" spans="1:3">
      <c r="A315" s="146" t="e">
        <f>$C$1&amp;".E30A.REM.UIBUS._INT.12.1_13_PERCT.OS."</f>
        <v>#N/A</v>
      </c>
      <c r="B315" s="43">
        <f>ROUND(PAGE2!$L$85,5)</f>
        <v>0</v>
      </c>
      <c r="C315" s="43">
        <f>ROUND(PAGE2!$N$85,5)</f>
        <v>0</v>
      </c>
    </row>
    <row r="316" spans="1:3">
      <c r="A316" s="146" t="e">
        <f>$C$1&amp;".E30A.REM.UIBUS._INT.13.1_14_PERCT.APPR."</f>
        <v>#N/A</v>
      </c>
      <c r="B316" s="43">
        <f>ROUND(PAGE2!$G$86,5)</f>
        <v>0</v>
      </c>
      <c r="C316" s="43">
        <f>ROUND(PAGE2!$I$86,5)</f>
        <v>0</v>
      </c>
    </row>
    <row r="317" spans="1:3">
      <c r="A317" s="146" t="e">
        <f>$C$1&amp;".E30A.REM.UIBUS._INT.13.1_14_PERCT.OS."</f>
        <v>#N/A</v>
      </c>
      <c r="B317" s="43">
        <f>ROUND(PAGE2!$L$86,5)</f>
        <v>0</v>
      </c>
      <c r="C317" s="43">
        <f>ROUND(PAGE2!$N$86,5)</f>
        <v>0</v>
      </c>
    </row>
    <row r="318" spans="1:3">
      <c r="A318" s="146" t="e">
        <f>$C$1&amp;".E30A.REM.UIBUS._INT.14.1_15_PERCT.APPR."</f>
        <v>#N/A</v>
      </c>
      <c r="B318" s="43">
        <f>ROUND(PAGE2!$G$87,5)</f>
        <v>0</v>
      </c>
      <c r="C318" s="43">
        <f>ROUND(PAGE2!$I$87,5)</f>
        <v>0</v>
      </c>
    </row>
    <row r="319" spans="1:3">
      <c r="A319" s="146" t="e">
        <f>$C$1&amp;".E30A.REM.UIBUS._INT.14.1_15_PERCT.OS."</f>
        <v>#N/A</v>
      </c>
      <c r="B319" s="43">
        <f>ROUND(PAGE2!$L$87,5)</f>
        <v>0</v>
      </c>
      <c r="C319" s="43">
        <f>ROUND(PAGE2!$N$87,5)</f>
        <v>0</v>
      </c>
    </row>
    <row r="320" spans="1:3">
      <c r="A320" s="146" t="e">
        <f>$C$1&amp;".E30A.REM.UIBUS._INT.OVR_15_PERCT.APPR."</f>
        <v>#N/A</v>
      </c>
      <c r="B320" s="43">
        <f>ROUND(PAGE2!$G$88,5)</f>
        <v>0</v>
      </c>
      <c r="C320" s="43">
        <f>ROUND(PAGE2!$I$88,5)</f>
        <v>0</v>
      </c>
    </row>
    <row r="321" spans="1:3">
      <c r="A321" s="146" t="e">
        <f>$C$1&amp;".E30A.REM.UIBUS._INT.OVR_15_PERCT.OS."</f>
        <v>#N/A</v>
      </c>
      <c r="B321" s="43">
        <f>ROUND(PAGE2!$L$88,5)</f>
        <v>0</v>
      </c>
      <c r="C321" s="43">
        <f>ROUND(PAGE2!$N$88,5)</f>
        <v>0</v>
      </c>
    </row>
    <row r="322" spans="1:3">
      <c r="A322" s="155" t="e">
        <f>$C$1&amp;".E30A.REM.UIBUS.APPR.TTL.."</f>
        <v>#N/A</v>
      </c>
      <c r="B322" s="43">
        <f>ROUND(PAGE2!G74,5)</f>
        <v>0</v>
      </c>
      <c r="C322" s="43">
        <f>ROUND(PAGE2!I74,5)</f>
        <v>0</v>
      </c>
    </row>
    <row r="323" spans="1:3">
      <c r="A323" s="155" t="e">
        <f>$C$1&amp;".E30A.REM.UIBUS.OS.TTL.."</f>
        <v>#N/A</v>
      </c>
      <c r="B323" s="43">
        <f>ROUND(PAGE2!L74,5)</f>
        <v>0</v>
      </c>
      <c r="C323" s="43">
        <f>ROUND(PAGE2!N74,5)</f>
        <v>0</v>
      </c>
    </row>
    <row r="324" spans="1:3">
      <c r="A324" s="146" t="e">
        <f>$C$1&amp;".E30A.REM.CONSM._INT.0_3_PERCT.APPR."</f>
        <v>#N/A</v>
      </c>
      <c r="B324" s="43">
        <f>ROUND(PAGE2!$G$92,5)</f>
        <v>0</v>
      </c>
      <c r="C324" s="43">
        <f>ROUND(PAGE2!$I$92,5)</f>
        <v>0</v>
      </c>
    </row>
    <row r="325" spans="1:3">
      <c r="A325" s="146" t="e">
        <f>$C$1&amp;".E30A.REM.CONSM._INT.0_3_PERCT.OS."</f>
        <v>#N/A</v>
      </c>
      <c r="B325" s="43">
        <f>ROUND(PAGE2!$L$92,5)</f>
        <v>0</v>
      </c>
      <c r="C325" s="43">
        <f>ROUND(PAGE2!$N$92,5)</f>
        <v>0</v>
      </c>
    </row>
    <row r="326" spans="1:3">
      <c r="A326" s="146" t="e">
        <f>$C$1&amp;".E30A.REM.CONSM._INT.3.1_4_PERCT.APPR."</f>
        <v>#N/A</v>
      </c>
      <c r="B326" s="43">
        <f>ROUND(PAGE2!$G$93,5)</f>
        <v>0</v>
      </c>
      <c r="C326" s="43">
        <f>ROUND(PAGE2!$I$93,5)</f>
        <v>0</v>
      </c>
    </row>
    <row r="327" spans="1:3">
      <c r="A327" s="146" t="e">
        <f>$C$1&amp;".E30A.REM.CONSM._INT.3.1_4_PERCT.OS."</f>
        <v>#N/A</v>
      </c>
      <c r="B327" s="43">
        <f>ROUND(PAGE2!$L$93,5)</f>
        <v>0</v>
      </c>
      <c r="C327" s="43">
        <f>ROUND(PAGE2!$N$93,5)</f>
        <v>0</v>
      </c>
    </row>
    <row r="328" spans="1:3">
      <c r="A328" s="146" t="e">
        <f>$C$1&amp;".E30A.REM.CONSM._INT.4.1_5_PERCT.APPR."</f>
        <v>#N/A</v>
      </c>
      <c r="B328" s="43">
        <f>ROUND(PAGE2!$G$94,5)</f>
        <v>0</v>
      </c>
      <c r="C328" s="43">
        <f>ROUND(PAGE2!$I$94,5)</f>
        <v>0</v>
      </c>
    </row>
    <row r="329" spans="1:3">
      <c r="A329" s="146" t="e">
        <f>$C$1&amp;".E30A.REM.CONSM._INT.4.1_5_PERCT.OS."</f>
        <v>#N/A</v>
      </c>
      <c r="B329" s="43">
        <f>ROUND(PAGE2!$L$94,5)</f>
        <v>0</v>
      </c>
      <c r="C329" s="43">
        <f>ROUND(PAGE2!$N$94,5)</f>
        <v>0</v>
      </c>
    </row>
    <row r="330" spans="1:3">
      <c r="A330" s="146" t="e">
        <f>$C$1&amp;".E30A.REM.CONSM._INT.5.1_6_PERCT.APPR."</f>
        <v>#N/A</v>
      </c>
      <c r="B330" s="43">
        <f>ROUND(PAGE2!$G$95,5)</f>
        <v>0</v>
      </c>
      <c r="C330" s="43">
        <f>ROUND(PAGE2!$I$95,5)</f>
        <v>0</v>
      </c>
    </row>
    <row r="331" spans="1:3">
      <c r="A331" s="146" t="e">
        <f>$C$1&amp;".E30A.REM.CONSM._INT.5.1_6_PERCT.OS."</f>
        <v>#N/A</v>
      </c>
      <c r="B331" s="43">
        <f>ROUND(PAGE2!$L$95,5)</f>
        <v>0</v>
      </c>
      <c r="C331" s="43">
        <f>ROUND(PAGE2!$N$95,5)</f>
        <v>0</v>
      </c>
    </row>
    <row r="332" spans="1:3">
      <c r="A332" s="146" t="e">
        <f>$C$1&amp;".E30A.REM.CONSM._INT.6.1_7_PERCT.APPR."</f>
        <v>#N/A</v>
      </c>
      <c r="B332" s="43">
        <f>ROUND(PAGE2!$G$96,5)</f>
        <v>0</v>
      </c>
      <c r="C332" s="43">
        <f>ROUND(PAGE2!$I$96,5)</f>
        <v>0</v>
      </c>
    </row>
    <row r="333" spans="1:3">
      <c r="A333" s="146" t="e">
        <f>$C$1&amp;".E30A.REM.CONSM._INT.6.1_7_PERCT.OS."</f>
        <v>#N/A</v>
      </c>
      <c r="B333" s="43">
        <f>ROUND(PAGE2!$L$96,5)</f>
        <v>0</v>
      </c>
      <c r="C333" s="43">
        <f>ROUND(PAGE2!$N$96,5)</f>
        <v>0</v>
      </c>
    </row>
    <row r="334" spans="1:3">
      <c r="A334" s="146" t="e">
        <f>$C$1&amp;".E30A.REM.CONSM._INT.7.1_8_PERCT.APPR."</f>
        <v>#N/A</v>
      </c>
      <c r="B334" s="43">
        <f>ROUND(PAGE2!$G$97,5)</f>
        <v>0</v>
      </c>
      <c r="C334" s="43">
        <f>ROUND(PAGE2!$I$97,5)</f>
        <v>0</v>
      </c>
    </row>
    <row r="335" spans="1:3">
      <c r="A335" s="146" t="e">
        <f>$C$1&amp;".E30A.REM.CONSM._INT.7.1_8_PERCT.OS."</f>
        <v>#N/A</v>
      </c>
      <c r="B335" s="43">
        <f>ROUND(PAGE2!$L$97,5)</f>
        <v>0</v>
      </c>
      <c r="C335" s="43">
        <f>ROUND(PAGE2!$N$97,5)</f>
        <v>0</v>
      </c>
    </row>
    <row r="336" spans="1:3">
      <c r="A336" s="146" t="e">
        <f>$C$1&amp;".E30A.REM.CONSM._INT.8.1_9_PERCT.APPR."</f>
        <v>#N/A</v>
      </c>
      <c r="B336" s="43">
        <f>ROUND(PAGE2!$G$98,5)</f>
        <v>0</v>
      </c>
      <c r="C336" s="43">
        <f>ROUND(PAGE2!$I$98,5)</f>
        <v>0</v>
      </c>
    </row>
    <row r="337" spans="1:3">
      <c r="A337" s="146" t="e">
        <f>$C$1&amp;".E30A.REM.CONSM._INT.8.1_9_PERCT.OS."</f>
        <v>#N/A</v>
      </c>
      <c r="B337" s="43">
        <f>ROUND(PAGE2!$L$98,5)</f>
        <v>0</v>
      </c>
      <c r="C337" s="43">
        <f>ROUND(PAGE2!$N$98,5)</f>
        <v>0</v>
      </c>
    </row>
    <row r="338" spans="1:3">
      <c r="A338" s="146" t="e">
        <f>$C$1&amp;".E30A.REM.CONSM._INT.9.1_10_PERCT.APPR."</f>
        <v>#N/A</v>
      </c>
      <c r="B338" s="43">
        <f>ROUND(PAGE2!$G$99,5)</f>
        <v>0</v>
      </c>
      <c r="C338" s="43">
        <f>ROUND(PAGE2!$I$99,5)</f>
        <v>0</v>
      </c>
    </row>
    <row r="339" spans="1:3">
      <c r="A339" s="146" t="e">
        <f>$C$1&amp;".E30A.REM.CONSM._INT.9.1_10_PERCT.OS."</f>
        <v>#N/A</v>
      </c>
      <c r="B339" s="43">
        <f>ROUND(PAGE2!$L$99,5)</f>
        <v>0</v>
      </c>
      <c r="C339" s="43">
        <f>ROUND(PAGE2!$N$99,5)</f>
        <v>0</v>
      </c>
    </row>
    <row r="340" spans="1:3">
      <c r="A340" s="146" t="e">
        <f>$C$1&amp;".E30A.REM.CONSM._INT.10.1_11_PERCT.APPR."</f>
        <v>#N/A</v>
      </c>
      <c r="B340" s="43">
        <f>ROUND(PAGE2!$G$100,5)</f>
        <v>0</v>
      </c>
      <c r="C340" s="43">
        <f>ROUND(PAGE2!$I$100,5)</f>
        <v>0</v>
      </c>
    </row>
    <row r="341" spans="1:3">
      <c r="A341" s="146" t="e">
        <f>$C$1&amp;".E30A.REM.CONSM._INT.10.1_11_PERCT.OS."</f>
        <v>#N/A</v>
      </c>
      <c r="B341" s="43">
        <f>ROUND(PAGE2!$L$100,5)</f>
        <v>0</v>
      </c>
      <c r="C341" s="43">
        <f>ROUND(PAGE2!$N$100,5)</f>
        <v>0</v>
      </c>
    </row>
    <row r="342" spans="1:3">
      <c r="A342" s="146" t="e">
        <f>$C$1&amp;".E30A.REM.CONSM._INT.11.1_12_PERCT.APPR."</f>
        <v>#N/A</v>
      </c>
      <c r="B342" s="43">
        <f>ROUND(PAGE2!$G$101,5)</f>
        <v>0</v>
      </c>
      <c r="C342" s="43">
        <f>ROUND(PAGE2!$I$101,5)</f>
        <v>0</v>
      </c>
    </row>
    <row r="343" spans="1:3">
      <c r="A343" s="146" t="e">
        <f>$C$1&amp;".E30A.REM.CONSM._INT.11.1_12_PERCT.OS."</f>
        <v>#N/A</v>
      </c>
      <c r="B343" s="43">
        <f>ROUND(PAGE2!$L$101,5)</f>
        <v>0</v>
      </c>
      <c r="C343" s="43">
        <f>ROUND(PAGE2!$N$101,5)</f>
        <v>0</v>
      </c>
    </row>
    <row r="344" spans="1:3">
      <c r="A344" s="146" t="e">
        <f>$C$1&amp;".E30A.REM.CONSM._INT.12.1_13_PERCT.APPR."</f>
        <v>#N/A</v>
      </c>
      <c r="B344" s="43">
        <f>ROUND(PAGE2!$G$102,5)</f>
        <v>0</v>
      </c>
      <c r="C344" s="43">
        <f>ROUND(PAGE2!$I$102,5)</f>
        <v>0</v>
      </c>
    </row>
    <row r="345" spans="1:3">
      <c r="A345" s="146" t="e">
        <f>$C$1&amp;".E30A.REM.CONSM._INT.12.1_13_PERCT.OS."</f>
        <v>#N/A</v>
      </c>
      <c r="B345" s="43">
        <f>ROUND(PAGE2!$L$102,5)</f>
        <v>0</v>
      </c>
      <c r="C345" s="43">
        <f>ROUND(PAGE2!$N$102,5)</f>
        <v>0</v>
      </c>
    </row>
    <row r="346" spans="1:3">
      <c r="A346" s="146" t="e">
        <f>$C$1&amp;".E30A.REM.CONSM._INT.13.1_14_PERCT.APPR."</f>
        <v>#N/A</v>
      </c>
      <c r="B346" s="43">
        <f>ROUND(PAGE2!$G$103,5)</f>
        <v>0</v>
      </c>
      <c r="C346" s="43">
        <f>ROUND(PAGE2!$I$103,5)</f>
        <v>0</v>
      </c>
    </row>
    <row r="347" spans="1:3">
      <c r="A347" s="146" t="e">
        <f>$C$1&amp;".E30A.REM.CONSM._INT.13.1_14_PERCT.OS."</f>
        <v>#N/A</v>
      </c>
      <c r="B347" s="43">
        <f>ROUND(PAGE2!$L$103,5)</f>
        <v>0</v>
      </c>
      <c r="C347" s="43">
        <f>ROUND(PAGE2!$N$103,5)</f>
        <v>0</v>
      </c>
    </row>
    <row r="348" spans="1:3">
      <c r="A348" s="146" t="e">
        <f>$C$1&amp;".E30A.REM.CONSM._INT.14.1_15_PERCT.APPR."</f>
        <v>#N/A</v>
      </c>
      <c r="B348" s="43">
        <f>ROUND(PAGE2!$G$104,5)</f>
        <v>0</v>
      </c>
      <c r="C348" s="43">
        <f>ROUND(PAGE2!$I$104,5)</f>
        <v>0</v>
      </c>
    </row>
    <row r="349" spans="1:3">
      <c r="A349" s="146" t="e">
        <f>$C$1&amp;".E30A.REM.CONSM._INT.14.1_15_PERCT.OS."</f>
        <v>#N/A</v>
      </c>
      <c r="B349" s="43">
        <f>ROUND(PAGE2!$L$104,5)</f>
        <v>0</v>
      </c>
      <c r="C349" s="43">
        <f>ROUND(PAGE2!$N$104,5)</f>
        <v>0</v>
      </c>
    </row>
    <row r="350" spans="1:3">
      <c r="A350" s="146" t="e">
        <f>$C$1&amp;".E30A.REM.CONSM._INT.OVR_15.1_PERCT.APPR."</f>
        <v>#N/A</v>
      </c>
      <c r="B350" s="43">
        <f>ROUND(PAGE2!$G$105,5)</f>
        <v>0</v>
      </c>
      <c r="C350" s="43">
        <f>ROUND(PAGE2!$I$105,5)</f>
        <v>0</v>
      </c>
    </row>
    <row r="351" spans="1:3">
      <c r="A351" s="146" t="e">
        <f>$C$1&amp;".E30A.REM.CONSM._INT.OVR_15.1_PERCT.OS."</f>
        <v>#N/A</v>
      </c>
      <c r="B351" s="43">
        <f>ROUND(PAGE2!$L$105,5)</f>
        <v>0</v>
      </c>
      <c r="C351" s="43">
        <f>ROUND(PAGE2!$N$105,5)</f>
        <v>0</v>
      </c>
    </row>
    <row r="352" spans="1:3">
      <c r="A352" s="155" t="e">
        <f>$C$1&amp;".E30A.REM.CONSM.APPR.TTL.."</f>
        <v>#N/A</v>
      </c>
      <c r="B352" s="43">
        <f>ROUND(PAGE2!G91,5)</f>
        <v>0</v>
      </c>
      <c r="C352" s="43">
        <f>ROUND(PAGE2!I91,5)</f>
        <v>0</v>
      </c>
    </row>
    <row r="353" spans="1:3">
      <c r="A353" s="155" t="e">
        <f>$C$1&amp;".E30A.REM.CONSM.OS.TTL.."</f>
        <v>#N/A</v>
      </c>
      <c r="B353" s="43">
        <f>ROUND(PAGE2!L91,5)</f>
        <v>0</v>
      </c>
      <c r="C353" s="43">
        <f>ROUND(PAGE2!N91,5)</f>
        <v>0</v>
      </c>
    </row>
    <row r="354" spans="1:3">
      <c r="A354" s="146" t="e">
        <f>$C$1&amp;".E30A.REM.APPR.SEC.AGG_TTL.."</f>
        <v>#N/A</v>
      </c>
      <c r="B354" s="43">
        <f>ROUND(PAGE2!$G$107,5)</f>
        <v>0</v>
      </c>
      <c r="C354" s="43">
        <f>ROUND(PAGE2!$I$107,5)</f>
        <v>0</v>
      </c>
    </row>
    <row r="355" spans="1:3">
      <c r="A355" s="146" t="e">
        <f>$C$1&amp;".E30A.REM.OS.SEC.AGG_TTL.."</f>
        <v>#N/A</v>
      </c>
      <c r="B355" s="43">
        <f>ROUND(PAGE2!$L$107,5)</f>
        <v>0</v>
      </c>
      <c r="C355" s="43">
        <f>ROUND(PAGE2!$N$107,5)</f>
        <v>0</v>
      </c>
    </row>
    <row r="356" spans="1:3">
      <c r="A356" s="153" t="s">
        <v>161</v>
      </c>
      <c r="B356" s="43" t="s">
        <v>115</v>
      </c>
      <c r="C356" s="43" t="s">
        <v>116</v>
      </c>
    </row>
    <row r="357" spans="1:3">
      <c r="A357" s="146" t="e">
        <f>$C$1&amp;".E30A.REM.RES._INT.0_3_PERCT.DISB."</f>
        <v>#N/A</v>
      </c>
      <c r="B357" s="43">
        <f>ROUND(PAGE3!$G$21,5)</f>
        <v>0</v>
      </c>
      <c r="C357" s="43">
        <f>ROUND(PAGE3!$I$21,5)</f>
        <v>0</v>
      </c>
    </row>
    <row r="358" spans="1:3">
      <c r="A358" s="146" t="e">
        <f>$C$1&amp;".E30A.REM.RES._INT.0_3_PERCT.OS."</f>
        <v>#N/A</v>
      </c>
      <c r="B358" s="43">
        <f>ROUND(PAGE3!$L$21,5)</f>
        <v>0</v>
      </c>
      <c r="C358" s="43">
        <f>ROUND(PAGE3!$N$21,5)</f>
        <v>0</v>
      </c>
    </row>
    <row r="359" spans="1:3">
      <c r="A359" s="146" t="e">
        <f>$C$1&amp;".E30A.REM.RES._INT.3.1_4_PERCT.DISB."</f>
        <v>#N/A</v>
      </c>
      <c r="B359" s="43">
        <f>ROUND(PAGE3!$G$22,5)</f>
        <v>0</v>
      </c>
      <c r="C359" s="43">
        <f>ROUND(PAGE3!$I$22,5)</f>
        <v>0</v>
      </c>
    </row>
    <row r="360" spans="1:3">
      <c r="A360" s="146" t="e">
        <f>$C$1&amp;".E30A.REM.RES._INT.3.1_4_PERCT.OS."</f>
        <v>#N/A</v>
      </c>
      <c r="B360" s="43">
        <f>ROUND(PAGE3!$L$22,5)</f>
        <v>0</v>
      </c>
      <c r="C360" s="43">
        <f>ROUND(PAGE3!$N$22,5)</f>
        <v>0</v>
      </c>
    </row>
    <row r="361" spans="1:3">
      <c r="A361" s="146" t="e">
        <f>$C$1&amp;".E30A.REM.RES._INT.4.1_5_PERCT.DISB."</f>
        <v>#N/A</v>
      </c>
      <c r="B361" s="43">
        <f>ROUND(PAGE3!$G$23,5)</f>
        <v>0</v>
      </c>
      <c r="C361" s="43">
        <f>ROUND(PAGE3!$I$23,5)</f>
        <v>0</v>
      </c>
    </row>
    <row r="362" spans="1:3">
      <c r="A362" s="146" t="e">
        <f>$C$1&amp;".E30A.REM.RES._INT.4.1_5_PERCT.OS."</f>
        <v>#N/A</v>
      </c>
      <c r="B362" s="43">
        <f>ROUND(PAGE3!$L$23,5)</f>
        <v>0</v>
      </c>
      <c r="C362" s="43">
        <f>ROUND(PAGE3!$N$23,5)</f>
        <v>0</v>
      </c>
    </row>
    <row r="363" spans="1:3">
      <c r="A363" s="146" t="e">
        <f>$C$1&amp;".E30A.REM.RES._INT.5.1_6_PERCT.DISB."</f>
        <v>#N/A</v>
      </c>
      <c r="B363" s="43">
        <f>ROUND(PAGE3!$G$24,5)</f>
        <v>0</v>
      </c>
      <c r="C363" s="43">
        <f>ROUND(PAGE3!$I$24,5)</f>
        <v>0</v>
      </c>
    </row>
    <row r="364" spans="1:3">
      <c r="A364" s="146" t="e">
        <f>$C$1&amp;".E30A.REM.RES._INT.5.1_6_PERCT.OS."</f>
        <v>#N/A</v>
      </c>
      <c r="B364" s="43">
        <f>ROUND(PAGE3!$L$24,5)</f>
        <v>0</v>
      </c>
      <c r="C364" s="43">
        <f>ROUND(PAGE3!$N$24,5)</f>
        <v>0</v>
      </c>
    </row>
    <row r="365" spans="1:3">
      <c r="A365" s="146" t="e">
        <f>$C$1&amp;".E30A.REM.RES._INT.6.1_7_PERCT.DISB."</f>
        <v>#N/A</v>
      </c>
      <c r="B365" s="43">
        <f>ROUND(PAGE3!$G$25,5)</f>
        <v>0</v>
      </c>
      <c r="C365" s="43">
        <f>ROUND(PAGE3!$I$25,5)</f>
        <v>0</v>
      </c>
    </row>
    <row r="366" spans="1:3">
      <c r="A366" s="146" t="e">
        <f>$C$1&amp;".E30A.REM.RES._INT.6.1_7_PERCT.OS."</f>
        <v>#N/A</v>
      </c>
      <c r="B366" s="43">
        <f>ROUND(PAGE3!$L$25,5)</f>
        <v>0</v>
      </c>
      <c r="C366" s="43">
        <f>ROUND(PAGE3!$N$25,5)</f>
        <v>0</v>
      </c>
    </row>
    <row r="367" spans="1:3">
      <c r="A367" s="146" t="e">
        <f>$C$1&amp;".E30A.REM.RES._INT.7.1_8_PERCT.DISB."</f>
        <v>#N/A</v>
      </c>
      <c r="B367" s="43">
        <f>ROUND(PAGE3!$G$26,5)</f>
        <v>0</v>
      </c>
      <c r="C367" s="43">
        <f>ROUND(PAGE3!$I$26,5)</f>
        <v>0</v>
      </c>
    </row>
    <row r="368" spans="1:3">
      <c r="A368" s="146" t="e">
        <f>$C$1&amp;".E30A.REM.RES._INT.7.1_8_PERCT.OS."</f>
        <v>#N/A</v>
      </c>
      <c r="B368" s="43">
        <f>ROUND(PAGE3!$L$26,5)</f>
        <v>0</v>
      </c>
      <c r="C368" s="43">
        <f>ROUND(PAGE3!$N$26,5)</f>
        <v>0</v>
      </c>
    </row>
    <row r="369" spans="1:3">
      <c r="A369" s="146" t="e">
        <f>$C$1&amp;".E30A.REM.RES._INT.8.1_9_PERCT.DISB."</f>
        <v>#N/A</v>
      </c>
      <c r="B369" s="43">
        <f>ROUND(PAGE3!$G$27,5)</f>
        <v>0</v>
      </c>
      <c r="C369" s="43">
        <f>ROUND(PAGE3!$I$27,5)</f>
        <v>0</v>
      </c>
    </row>
    <row r="370" spans="1:3">
      <c r="A370" s="146" t="e">
        <f>$C$1&amp;".E30A.REM.RES._INT.8.1_9_PERCT.OS."</f>
        <v>#N/A</v>
      </c>
      <c r="B370" s="43">
        <f>ROUND(PAGE3!$L$27,5)</f>
        <v>0</v>
      </c>
      <c r="C370" s="43">
        <f>ROUND(PAGE3!$N$27,5)</f>
        <v>0</v>
      </c>
    </row>
    <row r="371" spans="1:3">
      <c r="A371" s="146" t="e">
        <f>$C$1&amp;".E30A.REM.RES._INT.9.1_10_PERCT.DISB."</f>
        <v>#N/A</v>
      </c>
      <c r="B371" s="43">
        <f>ROUND(PAGE3!$G$28,5)</f>
        <v>0</v>
      </c>
      <c r="C371" s="43">
        <f>ROUND(PAGE3!$I$28,5)</f>
        <v>0</v>
      </c>
    </row>
    <row r="372" spans="1:3">
      <c r="A372" s="146" t="e">
        <f>$C$1&amp;".E30A.REM.RES._INT.9.1_10_PERCT.OS."</f>
        <v>#N/A</v>
      </c>
      <c r="B372" s="43">
        <f>ROUND(PAGE3!$L$28,5)</f>
        <v>0</v>
      </c>
      <c r="C372" s="43">
        <f>ROUND(PAGE3!$N$28,5)</f>
        <v>0</v>
      </c>
    </row>
    <row r="373" spans="1:3">
      <c r="A373" s="146" t="e">
        <f>$C$1&amp;".E30A.REM.RES._INT.10.1_11_PERCT.DISB."</f>
        <v>#N/A</v>
      </c>
      <c r="B373" s="43">
        <f>ROUND(PAGE3!$G$29,5)</f>
        <v>0</v>
      </c>
      <c r="C373" s="43">
        <f>ROUND(PAGE3!$I$29,5)</f>
        <v>0</v>
      </c>
    </row>
    <row r="374" spans="1:3">
      <c r="A374" s="146" t="e">
        <f>$C$1&amp;".E30A.REM.RES._INT.10.1_11_PERCT.OS."</f>
        <v>#N/A</v>
      </c>
      <c r="B374" s="43">
        <f>ROUND(PAGE3!$L$29,5)</f>
        <v>0</v>
      </c>
      <c r="C374" s="43">
        <f>ROUND(PAGE3!$N$29,5)</f>
        <v>0</v>
      </c>
    </row>
    <row r="375" spans="1:3">
      <c r="A375" s="146" t="e">
        <f>$C$1&amp;".E30A.REM.RES._INT.11.1_12_PERCT.DISB."</f>
        <v>#N/A</v>
      </c>
      <c r="B375" s="43">
        <f>ROUND(PAGE3!$G$30,5)</f>
        <v>0</v>
      </c>
      <c r="C375" s="43">
        <f>ROUND(PAGE3!$I$30,5)</f>
        <v>0</v>
      </c>
    </row>
    <row r="376" spans="1:3">
      <c r="A376" s="146" t="e">
        <f>$C$1&amp;".E30A.REM.RES._INT.11.1_12_PERCT.OS."</f>
        <v>#N/A</v>
      </c>
      <c r="B376" s="43">
        <f>ROUND(PAGE3!$L$30,5)</f>
        <v>0</v>
      </c>
      <c r="C376" s="43">
        <f>ROUND(PAGE3!$N$30,5)</f>
        <v>0</v>
      </c>
    </row>
    <row r="377" spans="1:3">
      <c r="A377" s="146" t="e">
        <f>$C$1&amp;".E30A.REM.RES._INT.12.1_13_PERCT.DISB."</f>
        <v>#N/A</v>
      </c>
      <c r="B377" s="43">
        <f>ROUND(PAGE3!$G$31,5)</f>
        <v>0</v>
      </c>
      <c r="C377" s="43">
        <f>ROUND(PAGE3!$I$31,5)</f>
        <v>0</v>
      </c>
    </row>
    <row r="378" spans="1:3">
      <c r="A378" s="146" t="e">
        <f>$C$1&amp;".E30A.REM.RES._INT.12.1_13_PERCT.OS."</f>
        <v>#N/A</v>
      </c>
      <c r="B378" s="43">
        <f>ROUND(PAGE3!$L$31,5)</f>
        <v>0</v>
      </c>
      <c r="C378" s="43">
        <f>ROUND(PAGE3!$N$31,5)</f>
        <v>0</v>
      </c>
    </row>
    <row r="379" spans="1:3">
      <c r="A379" s="146" t="e">
        <f>$C$1&amp;".E30A.REM.RES._INT.13.1_14_PERCT.DISB."</f>
        <v>#N/A</v>
      </c>
      <c r="B379" s="43">
        <f>ROUND(PAGE3!$G$32,5)</f>
        <v>0</v>
      </c>
      <c r="C379" s="43">
        <f>ROUND(PAGE3!$I$32,5)</f>
        <v>0</v>
      </c>
    </row>
    <row r="380" spans="1:3">
      <c r="A380" s="146" t="e">
        <f>$C$1&amp;".E30A.REM.RES._INT.13.1_14_PERCT.OS."</f>
        <v>#N/A</v>
      </c>
      <c r="B380" s="43">
        <f>ROUND(PAGE3!$L$32,5)</f>
        <v>0</v>
      </c>
      <c r="C380" s="43">
        <f>ROUND(PAGE3!$N$32,5)</f>
        <v>0</v>
      </c>
    </row>
    <row r="381" spans="1:3">
      <c r="A381" s="146" t="e">
        <f>$C$1&amp;".E30A.REM.RES._INT.14.1_15_PERCT.DISB."</f>
        <v>#N/A</v>
      </c>
      <c r="B381" s="43">
        <f>ROUND(PAGE3!$G$33,5)</f>
        <v>0</v>
      </c>
      <c r="C381" s="43">
        <f>ROUND(PAGE3!$I$33,5)</f>
        <v>0</v>
      </c>
    </row>
    <row r="382" spans="1:3">
      <c r="A382" s="146" t="e">
        <f>$C$1&amp;".E30A.REM.RES._INT.14.1_15_PERCT.OS."</f>
        <v>#N/A</v>
      </c>
      <c r="B382" s="43">
        <f>ROUND(PAGE3!$L$33,5)</f>
        <v>0</v>
      </c>
      <c r="C382" s="43">
        <f>ROUND(PAGE3!$N$33,5)</f>
        <v>0</v>
      </c>
    </row>
    <row r="383" spans="1:3">
      <c r="A383" s="146" t="e">
        <f>$C$1&amp;".E30A.REM.RES._INT.OVR_15_PERCT.DISB."</f>
        <v>#N/A</v>
      </c>
      <c r="B383" s="43">
        <f>ROUND(PAGE3!$G$34,5)</f>
        <v>0</v>
      </c>
      <c r="C383" s="43">
        <f>ROUND(PAGE3!$I$34,5)</f>
        <v>0</v>
      </c>
    </row>
    <row r="384" spans="1:3">
      <c r="A384" s="146" t="e">
        <f>$C$1&amp;".E30A.REM.RES._INT.OVR_15_PERCT.OS."</f>
        <v>#N/A</v>
      </c>
      <c r="B384" s="43">
        <f>ROUND(PAGE3!$L$34,5)</f>
        <v>0</v>
      </c>
      <c r="C384" s="43">
        <f>ROUND(PAGE3!$N$34,5)</f>
        <v>0</v>
      </c>
    </row>
    <row r="385" spans="1:3">
      <c r="A385" s="146" t="e">
        <f>$C$1&amp;".E30A.REM.NRES._INT.0_3_PERCT.DISB."</f>
        <v>#N/A</v>
      </c>
      <c r="B385" s="43">
        <f>ROUND(PAGE3!$G$40,5)</f>
        <v>0</v>
      </c>
      <c r="C385" s="43">
        <f>ROUND(PAGE3!$I$40,5)</f>
        <v>0</v>
      </c>
    </row>
    <row r="386" spans="1:3">
      <c r="A386" s="146" t="e">
        <f>$C$1&amp;".E30A.REM.NRES._INT.0_3_PERCT.OS."</f>
        <v>#N/A</v>
      </c>
      <c r="B386" s="43">
        <f>ROUND(PAGE3!$L$40,5)</f>
        <v>0</v>
      </c>
      <c r="C386" s="43">
        <f>ROUND(PAGE3!$N$40,5)</f>
        <v>0</v>
      </c>
    </row>
    <row r="387" spans="1:3">
      <c r="A387" s="146" t="e">
        <f>$C$1&amp;".E30A.REM.NRES._INT.3.1_4_PERCT.DISB."</f>
        <v>#N/A</v>
      </c>
      <c r="B387" s="43">
        <f>ROUND(PAGE3!$G$41,5)</f>
        <v>0</v>
      </c>
      <c r="C387" s="43">
        <f>ROUND(PAGE3!$I$41,5)</f>
        <v>0</v>
      </c>
    </row>
    <row r="388" spans="1:3">
      <c r="A388" s="146" t="e">
        <f>$C$1&amp;".E30A.REM.NRES._INT.3.1_4_PERCT.OS."</f>
        <v>#N/A</v>
      </c>
      <c r="B388" s="43">
        <f>ROUND(PAGE3!$L$41,5)</f>
        <v>0</v>
      </c>
      <c r="C388" s="43">
        <f>ROUND(PAGE3!$N$41,5)</f>
        <v>0</v>
      </c>
    </row>
    <row r="389" spans="1:3">
      <c r="A389" s="146" t="e">
        <f>$C$1&amp;".E30A.REM.NRES._INT.4.1_5_PERCT.DISB."</f>
        <v>#N/A</v>
      </c>
      <c r="B389" s="43">
        <f>ROUND(PAGE3!$G$42,5)</f>
        <v>0</v>
      </c>
      <c r="C389" s="43">
        <f>ROUND(PAGE3!$I$42,5)</f>
        <v>0</v>
      </c>
    </row>
    <row r="390" spans="1:3">
      <c r="A390" s="146" t="e">
        <f>$C$1&amp;".E30A.REM.NRES._INT.4.1_5_PERCT.OS."</f>
        <v>#N/A</v>
      </c>
      <c r="B390" s="43">
        <f>ROUND(PAGE3!$L$42,5)</f>
        <v>0</v>
      </c>
      <c r="C390" s="43">
        <f>ROUND(PAGE3!$N$42,5)</f>
        <v>0</v>
      </c>
    </row>
    <row r="391" spans="1:3">
      <c r="A391" s="146" t="e">
        <f>$C$1&amp;".E30A.REM.NRES._INT.5.1_6_PERCT.DISB."</f>
        <v>#N/A</v>
      </c>
      <c r="B391" s="43">
        <f>ROUND(PAGE3!$G$43,5)</f>
        <v>0</v>
      </c>
      <c r="C391" s="43">
        <f>ROUND(PAGE3!$I$43,5)</f>
        <v>0</v>
      </c>
    </row>
    <row r="392" spans="1:3">
      <c r="A392" s="146" t="e">
        <f>$C$1&amp;".E30A.REM.NRES._INT.5.1_6_PERCT.OS."</f>
        <v>#N/A</v>
      </c>
      <c r="B392" s="43">
        <f>ROUND(PAGE3!$L$43,5)</f>
        <v>0</v>
      </c>
      <c r="C392" s="43">
        <f>ROUND(PAGE3!$N$43,5)</f>
        <v>0</v>
      </c>
    </row>
    <row r="393" spans="1:3">
      <c r="A393" s="146" t="e">
        <f>$C$1&amp;".E30A.REM.NRES._INT.6.1_7_PERCT.DISB."</f>
        <v>#N/A</v>
      </c>
      <c r="B393" s="43">
        <f>ROUND(PAGE3!$G$44,5)</f>
        <v>0</v>
      </c>
      <c r="C393" s="43">
        <f>ROUND(PAGE3!$I$44,5)</f>
        <v>0</v>
      </c>
    </row>
    <row r="394" spans="1:3">
      <c r="A394" s="146" t="e">
        <f>$C$1&amp;".E30A.REM.NRES._INT.6.1_7_PERCT.OS."</f>
        <v>#N/A</v>
      </c>
      <c r="B394" s="43">
        <f>ROUND(PAGE3!$L$44,5)</f>
        <v>0</v>
      </c>
      <c r="C394" s="43">
        <f>ROUND(PAGE3!$N$44,5)</f>
        <v>0</v>
      </c>
    </row>
    <row r="395" spans="1:3">
      <c r="A395" s="146" t="e">
        <f>$C$1&amp;".E30A.REM.NRES._INT.7.1_8_PERCT.DISB."</f>
        <v>#N/A</v>
      </c>
      <c r="B395" s="43">
        <f>ROUND(PAGE3!$G$45,5)</f>
        <v>0</v>
      </c>
      <c r="C395" s="43">
        <f>ROUND(PAGE3!$I$45,5)</f>
        <v>0</v>
      </c>
    </row>
    <row r="396" spans="1:3">
      <c r="A396" s="146" t="e">
        <f>$C$1&amp;".E30A.REM.NRES._INT.7.1_8_PERCT.OS."</f>
        <v>#N/A</v>
      </c>
      <c r="B396" s="43">
        <f>ROUND(PAGE3!$L$45,5)</f>
        <v>0</v>
      </c>
      <c r="C396" s="43">
        <f>ROUND(PAGE3!$N$45,5)</f>
        <v>0</v>
      </c>
    </row>
    <row r="397" spans="1:3">
      <c r="A397" s="146" t="e">
        <f>$C$1&amp;".E30A.REM.NRES._INT.8.1_9_PERCT.DISB."</f>
        <v>#N/A</v>
      </c>
      <c r="B397" s="43">
        <f>ROUND(PAGE3!$G$46,5)</f>
        <v>0</v>
      </c>
      <c r="C397" s="43">
        <f>ROUND(PAGE3!$I$46,5)</f>
        <v>0</v>
      </c>
    </row>
    <row r="398" spans="1:3">
      <c r="A398" s="146" t="e">
        <f>$C$1&amp;".E30A.REM.NRES._INT.8.1_9_PERCT.OS."</f>
        <v>#N/A</v>
      </c>
      <c r="B398" s="43">
        <f>ROUND(PAGE3!$L$46,5)</f>
        <v>0</v>
      </c>
      <c r="C398" s="43">
        <f>ROUND(PAGE3!$N$46,5)</f>
        <v>0</v>
      </c>
    </row>
    <row r="399" spans="1:3">
      <c r="A399" s="146" t="e">
        <f>$C$1&amp;".E30A.REM.NRES._INT.9.1_10_PERCT.DISB."</f>
        <v>#N/A</v>
      </c>
      <c r="B399" s="43">
        <f>ROUND(PAGE3!$G$47,5)</f>
        <v>0</v>
      </c>
      <c r="C399" s="43">
        <f>ROUND(PAGE3!$I$47,5)</f>
        <v>0</v>
      </c>
    </row>
    <row r="400" spans="1:3">
      <c r="A400" s="146" t="e">
        <f>$C$1&amp;".E30A.REM.NRES._INT.9.1_10_PERCT.OS."</f>
        <v>#N/A</v>
      </c>
      <c r="B400" s="43">
        <f>ROUND(PAGE3!$L$47,5)</f>
        <v>0</v>
      </c>
      <c r="C400" s="43">
        <f>ROUND(PAGE3!$N$47,5)</f>
        <v>0</v>
      </c>
    </row>
    <row r="401" spans="1:3">
      <c r="A401" s="146" t="e">
        <f>$C$1&amp;".E30A.REM.NRES._INT.10.1_11_PERCT.DISB."</f>
        <v>#N/A</v>
      </c>
      <c r="B401" s="43">
        <f>ROUND(PAGE3!$G$48,5)</f>
        <v>0</v>
      </c>
      <c r="C401" s="43">
        <f>ROUND(PAGE3!$I$48,5)</f>
        <v>0</v>
      </c>
    </row>
    <row r="402" spans="1:3">
      <c r="A402" s="146" t="e">
        <f>$C$1&amp;".E30A.REM.NRES._INT.10.1_11_PERCT.OS."</f>
        <v>#N/A</v>
      </c>
      <c r="B402" s="43">
        <f>ROUND(PAGE3!$L$48,5)</f>
        <v>0</v>
      </c>
      <c r="C402" s="43">
        <f>ROUND(PAGE3!$N$48,5)</f>
        <v>0</v>
      </c>
    </row>
    <row r="403" spans="1:3">
      <c r="A403" s="146" t="e">
        <f>$C$1&amp;".E30A.REM.NRES._INT.11.1_12_PERCT.DISB."</f>
        <v>#N/A</v>
      </c>
      <c r="B403" s="43">
        <f>ROUND(PAGE3!$G$49,5)</f>
        <v>0</v>
      </c>
      <c r="C403" s="43">
        <f>ROUND(PAGE3!$I$49,5)</f>
        <v>0</v>
      </c>
    </row>
    <row r="404" spans="1:3">
      <c r="A404" s="146" t="e">
        <f>$C$1&amp;".E30A.REM.NRES._INT.11.1_12_PERCT.OS."</f>
        <v>#N/A</v>
      </c>
      <c r="B404" s="43">
        <f>ROUND(PAGE3!$L$49,5)</f>
        <v>0</v>
      </c>
      <c r="C404" s="43">
        <f>ROUND(PAGE3!$N$49,5)</f>
        <v>0</v>
      </c>
    </row>
    <row r="405" spans="1:3">
      <c r="A405" s="146" t="e">
        <f>$C$1&amp;".E30A.REM.NRES._INT.12.1_13_PERCT.DISB."</f>
        <v>#N/A</v>
      </c>
      <c r="B405" s="43">
        <f>ROUND(PAGE3!$G$50,5)</f>
        <v>0</v>
      </c>
      <c r="C405" s="43">
        <f>ROUND(PAGE3!$I$50,5)</f>
        <v>0</v>
      </c>
    </row>
    <row r="406" spans="1:3">
      <c r="A406" s="146" t="e">
        <f>$C$1&amp;".E30A.REM.NRES._INT.12.1_13_PERCT.OS."</f>
        <v>#N/A</v>
      </c>
      <c r="B406" s="43">
        <f>ROUND(PAGE3!$L$50,5)</f>
        <v>0</v>
      </c>
      <c r="C406" s="43">
        <f>ROUND(PAGE3!$N$50,5)</f>
        <v>0</v>
      </c>
    </row>
    <row r="407" spans="1:3">
      <c r="A407" s="146" t="e">
        <f>$C$1&amp;".E30A.REM.NRES._INT.13.1_14_PERCT.DISB."</f>
        <v>#N/A</v>
      </c>
      <c r="B407" s="43">
        <f>ROUND(PAGE3!$G$51,5)</f>
        <v>0</v>
      </c>
      <c r="C407" s="43">
        <f>ROUND(PAGE3!$I$51,5)</f>
        <v>0</v>
      </c>
    </row>
    <row r="408" spans="1:3">
      <c r="A408" s="146" t="e">
        <f>$C$1&amp;".E30A.REM.NRES._INT.13.1_14_PERCT.OS."</f>
        <v>#N/A</v>
      </c>
      <c r="B408" s="43">
        <f>ROUND(PAGE3!$L$51,5)</f>
        <v>0</v>
      </c>
      <c r="C408" s="43">
        <f>ROUND(PAGE3!$N$51,5)</f>
        <v>0</v>
      </c>
    </row>
    <row r="409" spans="1:3">
      <c r="A409" s="146" t="e">
        <f>$C$1&amp;".E30A.REM.NRES._INT.14.1_15_PERCT.DISB."</f>
        <v>#N/A</v>
      </c>
      <c r="B409" s="43">
        <f>ROUND(PAGE3!$G$52,5)</f>
        <v>0</v>
      </c>
      <c r="C409" s="43">
        <f>ROUND(PAGE3!$I$52,5)</f>
        <v>0</v>
      </c>
    </row>
    <row r="410" spans="1:3">
      <c r="A410" s="146" t="e">
        <f>$C$1&amp;".E30A.REM.NRES._INT.14.1_15_PERCT.OS."</f>
        <v>#N/A</v>
      </c>
      <c r="B410" s="43">
        <f>ROUND(PAGE3!$L$52,5)</f>
        <v>0</v>
      </c>
      <c r="C410" s="43">
        <f>ROUND(PAGE3!$N$52,5)</f>
        <v>0</v>
      </c>
    </row>
    <row r="411" spans="1:3">
      <c r="A411" s="146" t="e">
        <f>$C$1&amp;".E30A.REM.NRES._INT.OVR_15.1_PERCT.DISB."</f>
        <v>#N/A</v>
      </c>
      <c r="B411" s="43">
        <f>ROUND(PAGE3!$G$53,5)</f>
        <v>0</v>
      </c>
      <c r="C411" s="43">
        <f>ROUND(PAGE3!$I$53,5)</f>
        <v>0</v>
      </c>
    </row>
    <row r="412" spans="1:3">
      <c r="A412" s="146" t="e">
        <f>$C$1&amp;".E30A.REM.NRES._INT.OVR_15.1_PERCT.OS."</f>
        <v>#N/A</v>
      </c>
      <c r="B412" s="43">
        <f>ROUND(PAGE3!$L$53,5)</f>
        <v>0</v>
      </c>
      <c r="C412" s="43">
        <f>ROUND(PAGE3!$N$53,5)</f>
        <v>0</v>
      </c>
    </row>
    <row r="413" spans="1:3">
      <c r="A413" s="152" t="e">
        <f>$C$1&amp;".E30A.REM.RES.DISB.TTL.."</f>
        <v>#N/A</v>
      </c>
      <c r="B413" s="43">
        <f>ROUND(PAGE3!$G$36,5)</f>
        <v>0</v>
      </c>
      <c r="C413" s="43">
        <f>ROUND(PAGE3!$I$36,5)</f>
        <v>0</v>
      </c>
    </row>
    <row r="414" spans="1:3">
      <c r="A414" s="152" t="e">
        <f>$C$1&amp;".E30A.REM.RES.OS.TTL.."</f>
        <v>#N/A</v>
      </c>
      <c r="B414" s="43">
        <f>ROUND(PAGE3!$L$36,5)</f>
        <v>0</v>
      </c>
      <c r="C414" s="43">
        <f>ROUND(PAGE3!$N$36,5)</f>
        <v>0</v>
      </c>
    </row>
    <row r="415" spans="1:3">
      <c r="A415" s="152" t="e">
        <f>$C$1&amp;".E30A.REM.NRES.DISB.TTL.."</f>
        <v>#N/A</v>
      </c>
      <c r="B415" s="43">
        <f>ROUND(PAGE3!$G$55,5)</f>
        <v>0</v>
      </c>
      <c r="C415" s="43">
        <f>ROUND(PAGE3!$I$55,5)</f>
        <v>0</v>
      </c>
    </row>
    <row r="416" spans="1:3">
      <c r="A416" s="152" t="e">
        <f>$C$1&amp;".E30A.REM.NRES.OS.TTL.."</f>
        <v>#N/A</v>
      </c>
      <c r="B416" s="43">
        <f>ROUND(PAGE3!$L$55,5)</f>
        <v>0</v>
      </c>
      <c r="C416" s="43">
        <f>ROUND(PAGE3!$N$55,5)</f>
        <v>0</v>
      </c>
    </row>
    <row r="417" spans="1:7">
      <c r="A417" s="152" t="e">
        <f>$C$1&amp;".E30A.REM.DISB.PTYPE.AGG_TTL.."</f>
        <v>#N/A</v>
      </c>
      <c r="B417" s="43">
        <f>ROUND(PAGE3!$G$58,5)</f>
        <v>0</v>
      </c>
      <c r="C417" s="43">
        <f>ROUND(PAGE3!$I$58,5)</f>
        <v>0</v>
      </c>
    </row>
    <row r="418" spans="1:7">
      <c r="A418" s="152" t="e">
        <f>$C$1&amp;".E30A.REM.OS.PTYPE.AGG_TTL.."</f>
        <v>#N/A</v>
      </c>
      <c r="B418" s="43">
        <f>ROUND(PAGE3!$L$58,5)</f>
        <v>0</v>
      </c>
      <c r="C418" s="43">
        <f>ROUND(PAGE3!$N$58,5)</f>
        <v>0</v>
      </c>
    </row>
    <row r="419" spans="1:7">
      <c r="A419" s="153" t="s">
        <v>162</v>
      </c>
      <c r="B419" s="43" t="s">
        <v>115</v>
      </c>
      <c r="C419" s="43" t="s">
        <v>116</v>
      </c>
      <c r="D419" s="143"/>
    </row>
    <row r="420" spans="1:7">
      <c r="A420" s="146" t="e">
        <f>$C$1&amp;".E30A.REM.RENOV.APPR..."</f>
        <v>#N/A</v>
      </c>
      <c r="B420" s="43">
        <f>ROUND('PAGE4 '!$G$20,5)</f>
        <v>0</v>
      </c>
      <c r="C420" s="43">
        <f>ROUND('PAGE4 '!$I$20,5)</f>
        <v>0</v>
      </c>
      <c r="D420" s="143"/>
    </row>
    <row r="421" spans="1:7">
      <c r="A421" s="146" t="e">
        <f>$C$1&amp;".E30A.REM.RENOV.DISB..."</f>
        <v>#N/A</v>
      </c>
      <c r="B421" s="43">
        <f>ROUND('PAGE4 '!$K$20,5)</f>
        <v>0</v>
      </c>
      <c r="C421" s="43">
        <f>ROUND('PAGE4 '!$M$20,5)</f>
        <v>0</v>
      </c>
      <c r="D421" s="143"/>
    </row>
    <row r="422" spans="1:7">
      <c r="A422" s="146" t="e">
        <f>$C$1&amp;".E30A.REM.RENOV.OS..."</f>
        <v>#N/A</v>
      </c>
      <c r="B422" s="43">
        <f>ROUND('PAGE4 '!$O$20,5)</f>
        <v>0</v>
      </c>
      <c r="C422" s="43">
        <f>ROUND('PAGE4 '!$Q$20,5)</f>
        <v>0</v>
      </c>
      <c r="D422" s="143"/>
    </row>
    <row r="423" spans="1:7">
      <c r="A423" s="146" t="e">
        <f>$C$1&amp;".E30A.REM.NEW_HOUSE.APPR..."</f>
        <v>#N/A</v>
      </c>
      <c r="B423" s="43">
        <f>ROUND('PAGE4 '!$G$24,5)</f>
        <v>0</v>
      </c>
      <c r="C423" s="43">
        <f>ROUND('PAGE4 '!$I$24,5)</f>
        <v>0</v>
      </c>
      <c r="D423" s="143"/>
    </row>
    <row r="424" spans="1:7">
      <c r="A424" s="146" t="e">
        <f>$C$1&amp;".E30A.REM.NEW_HOUSE.DISB..."</f>
        <v>#N/A</v>
      </c>
      <c r="B424" s="43">
        <f>ROUND('PAGE4 '!$K$24,5)</f>
        <v>0</v>
      </c>
      <c r="C424" s="43">
        <f>ROUND('PAGE4 '!$M$24,5)</f>
        <v>0</v>
      </c>
      <c r="D424" s="143"/>
    </row>
    <row r="425" spans="1:7">
      <c r="A425" s="146" t="e">
        <f>$C$1&amp;".E30A.REM.NEW_HOUSE.OS..."</f>
        <v>#N/A</v>
      </c>
      <c r="B425" s="43">
        <f>ROUND('PAGE4 '!$O$24,5)</f>
        <v>0</v>
      </c>
      <c r="C425" s="43">
        <f>ROUND('PAGE4 '!$Q$24,5)</f>
        <v>0</v>
      </c>
      <c r="D425" s="143"/>
    </row>
    <row r="426" spans="1:7">
      <c r="A426" s="146" t="e">
        <f>$C$1&amp;".E30A.REM.EXIST_HOUSE.APPR..."</f>
        <v>#N/A</v>
      </c>
      <c r="B426" s="43">
        <f>ROUND('PAGE4 '!$G$27,5)</f>
        <v>0</v>
      </c>
      <c r="C426" s="43">
        <f>ROUND('PAGE4 '!$I$27,5)</f>
        <v>0</v>
      </c>
      <c r="D426" s="143"/>
    </row>
    <row r="427" spans="1:7">
      <c r="A427" s="146" t="e">
        <f>$C$1&amp;".E30A.REM.EXIST_HOUSE.DISB..."</f>
        <v>#N/A</v>
      </c>
      <c r="B427" s="43">
        <f>ROUND('PAGE4 '!$K$27,5)</f>
        <v>0</v>
      </c>
      <c r="C427" s="43">
        <f>ROUND('PAGE4 '!$M$27,5)</f>
        <v>0</v>
      </c>
      <c r="D427" s="143"/>
    </row>
    <row r="428" spans="1:7">
      <c r="A428" s="146" t="e">
        <f>$C$1&amp;".E30A.REM.EXIST_HOUSE.OS..."</f>
        <v>#N/A</v>
      </c>
      <c r="B428" s="43">
        <f>ROUND('PAGE4 '!$O$27,5)</f>
        <v>0</v>
      </c>
      <c r="C428" s="43">
        <f>ROUND('PAGE4 '!$Q$27,5)</f>
        <v>0</v>
      </c>
      <c r="D428" s="143"/>
    </row>
    <row r="429" spans="1:7">
      <c r="A429" s="146" t="e">
        <f>$C$1&amp;".E30A.REM.LAND.APPR.."</f>
        <v>#N/A</v>
      </c>
      <c r="B429" s="43">
        <f>ROUND('PAGE4 '!$G$29,5)</f>
        <v>0</v>
      </c>
      <c r="C429" s="43">
        <f>ROUND('PAGE4 '!$I$29,5)</f>
        <v>0</v>
      </c>
      <c r="D429" s="143"/>
    </row>
    <row r="430" spans="1:7">
      <c r="A430" s="146" t="e">
        <f>$C$1&amp;".E30A.REM.LAND.DISB..."</f>
        <v>#N/A</v>
      </c>
      <c r="B430" s="43">
        <f>ROUND('PAGE4 '!$K$29,5)</f>
        <v>0</v>
      </c>
      <c r="C430" s="43">
        <f>ROUND('PAGE4 '!$M$29,5)</f>
        <v>0</v>
      </c>
      <c r="D430" s="143"/>
    </row>
    <row r="431" spans="1:7">
      <c r="A431" s="146" t="e">
        <f>$C$1&amp;".E30A.REM.LAND.OS.."</f>
        <v>#N/A</v>
      </c>
      <c r="B431" s="43">
        <f>ROUND('PAGE4 '!$O$29,5)</f>
        <v>0</v>
      </c>
      <c r="C431" s="43">
        <f>ROUND('PAGE4 '!$Q$29,5)</f>
        <v>0</v>
      </c>
      <c r="D431" s="143"/>
    </row>
    <row r="432" spans="1:7">
      <c r="A432" s="146" t="e">
        <f>$C$1&amp;".E30A.REM.LNS.RESCH..."</f>
        <v>#N/A</v>
      </c>
      <c r="B432" s="43">
        <f>ROUND('PAGE4 '!$O$35,5)</f>
        <v>0</v>
      </c>
      <c r="C432" s="43">
        <f>ROUND('PAGE4 '!$Q$35,5)</f>
        <v>0</v>
      </c>
      <c r="D432" s="143"/>
      <c r="G432" s="146"/>
    </row>
    <row r="433" spans="1:4">
      <c r="A433" s="152" t="e">
        <f>$C$1&amp;".E30A.REM.APPR.AGG_TTL…"</f>
        <v>#N/A</v>
      </c>
      <c r="B433" s="43">
        <f>ROUND('PAGE4 '!G39,5)</f>
        <v>0</v>
      </c>
      <c r="C433" s="43">
        <f>ROUND('PAGE4 '!I39,5)</f>
        <v>0</v>
      </c>
    </row>
    <row r="434" spans="1:4">
      <c r="A434" s="152" t="e">
        <f>$C$1&amp;".E30A.REM.DISB.AGG_TTL…"</f>
        <v>#N/A</v>
      </c>
      <c r="B434" s="43">
        <f>ROUND('PAGE4 '!K39,5)</f>
        <v>0</v>
      </c>
      <c r="C434" s="43">
        <f>ROUND('PAGE4 '!M39,5)</f>
        <v>0</v>
      </c>
    </row>
    <row r="435" spans="1:4">
      <c r="A435" s="152" t="e">
        <f>$C$1&amp;".E30A.REM.OS.AGG_TTL…"</f>
        <v>#N/A</v>
      </c>
      <c r="B435" s="43">
        <f>ROUND('PAGE4 '!O39,5)</f>
        <v>0</v>
      </c>
      <c r="C435" s="43">
        <f>ROUND('PAGE4 '!Q39,5)</f>
        <v>0</v>
      </c>
    </row>
    <row r="436" spans="1:4">
      <c r="A436" s="153" t="s">
        <v>164</v>
      </c>
      <c r="B436" s="43" t="s">
        <v>115</v>
      </c>
      <c r="C436" s="43"/>
      <c r="D436" s="143"/>
    </row>
    <row r="437" spans="1:4">
      <c r="A437" s="146" t="e">
        <f>$C$1&amp;".E30A.REM.LN_APP.REC.NRES.."</f>
        <v>#N/A</v>
      </c>
      <c r="B437" s="43">
        <f>ROUND('PAGE4 '!$C$47,5)</f>
        <v>0</v>
      </c>
      <c r="C437" s="43"/>
      <c r="D437" s="143"/>
    </row>
    <row r="438" spans="1:4">
      <c r="A438" s="146" t="e">
        <f>$C$1&amp;".E30A.REM.LN_APP.REC.RES.."</f>
        <v>#N/A</v>
      </c>
      <c r="B438" s="43">
        <f>ROUND('PAGE4 '!$C$45,5)</f>
        <v>0</v>
      </c>
      <c r="C438" s="43"/>
      <c r="D438" s="143"/>
    </row>
    <row r="439" spans="1:4" ht="12" customHeight="1">
      <c r="A439" s="153" t="s">
        <v>165</v>
      </c>
      <c r="B439" s="43" t="s">
        <v>163</v>
      </c>
      <c r="C439" s="43"/>
      <c r="D439" s="143"/>
    </row>
    <row r="440" spans="1:4">
      <c r="A440" s="146" t="e">
        <f>$C$1&amp;".E30A.REM.LTV_PERCT.RES.LAND.."</f>
        <v>#N/A</v>
      </c>
      <c r="B440" s="77">
        <f>ROUND('PAGE4 '!$C$53,5)</f>
        <v>0</v>
      </c>
      <c r="C440" s="43"/>
      <c r="D440" s="143"/>
    </row>
    <row r="441" spans="1:4">
      <c r="A441" s="146" t="e">
        <f>$C$1&amp;".E30A.REM.LTV_PERCT.RES.LAND_HOUSE.."</f>
        <v>#N/A</v>
      </c>
      <c r="B441" s="77">
        <f>ROUND('PAGE4 '!$I$53,5)</f>
        <v>0</v>
      </c>
      <c r="C441" s="43"/>
      <c r="D441" s="143"/>
    </row>
    <row r="442" spans="1:4">
      <c r="A442" s="146" t="e">
        <f>$C$1&amp;".E30A.REM.LTV_PERCT.NRES.LAND.."</f>
        <v>#N/A</v>
      </c>
      <c r="B442" s="77">
        <f>ROUND('PAGE4 '!$C$55,5)</f>
        <v>0</v>
      </c>
      <c r="C442" s="43"/>
      <c r="D442" s="143"/>
    </row>
    <row r="443" spans="1:4">
      <c r="A443" s="146" t="e">
        <f>$C$1&amp;".E30A.REM.LTV_PERCT.NRES.LAND_BLDG.."</f>
        <v>#N/A</v>
      </c>
      <c r="B443" s="77">
        <f>ROUND('PAGE4 '!$I$55,5)</f>
        <v>0</v>
      </c>
      <c r="C443" s="43"/>
      <c r="D443" s="143"/>
    </row>
    <row r="444" spans="1:4">
      <c r="A444" s="146" t="e">
        <f>$C$1&amp;".E30A.REM.LN_DISC.DISTR.FR.RES."</f>
        <v>#N/A</v>
      </c>
      <c r="B444" s="77">
        <f>ROUND('PAGE4 '!$I$62,5)</f>
        <v>0</v>
      </c>
      <c r="C444" s="43"/>
      <c r="D444" s="143"/>
    </row>
    <row r="445" spans="1:4">
      <c r="A445" s="146" t="e">
        <f>$C$1&amp;".E30A.REM.LN_DISC.DISTR.VR.RES."</f>
        <v>#N/A</v>
      </c>
      <c r="B445" s="77">
        <f>ROUND('PAGE4 '!$I$64,5)</f>
        <v>0</v>
      </c>
      <c r="C445" s="43"/>
      <c r="D445" s="143"/>
    </row>
    <row r="446" spans="1:4">
      <c r="A446" s="146" t="e">
        <f>$C$1&amp;".E30A.REM.LN_DISC.DISTR.AR.RES."</f>
        <v>#N/A</v>
      </c>
      <c r="B446" s="77">
        <f>ROUND('PAGE4 '!$I$66,5)</f>
        <v>0</v>
      </c>
      <c r="C446" s="43"/>
      <c r="D446" s="143"/>
    </row>
    <row r="447" spans="1:4">
      <c r="A447" s="153" t="s">
        <v>166</v>
      </c>
      <c r="B447" s="43" t="s">
        <v>115</v>
      </c>
      <c r="C447" s="43" t="s">
        <v>116</v>
      </c>
      <c r="D447" s="143"/>
    </row>
    <row r="448" spans="1:4">
      <c r="A448" s="146" t="e">
        <f>$C$1&amp;".E30A.REM.FR.PBSEC.DISB._INT.0_3_PERCT."</f>
        <v>#N/A</v>
      </c>
      <c r="B448" s="43">
        <f>ROUND(PAGE5!$C$20,5)</f>
        <v>0</v>
      </c>
      <c r="C448" s="43">
        <f>ROUND(PAGE5!$E$20,5)</f>
        <v>0</v>
      </c>
      <c r="D448" s="143"/>
    </row>
    <row r="449" spans="1:3">
      <c r="A449" s="146" t="e">
        <f>$C$1&amp;".E30A.REM.VAR.PBSEC.DISB._INT.0_3_PERCT."</f>
        <v>#N/A</v>
      </c>
      <c r="B449" s="43">
        <f>ROUND(PAGE5!$G$20,5)</f>
        <v>0</v>
      </c>
      <c r="C449" s="43">
        <f>ROUND(PAGE5!$I$20,5)</f>
        <v>0</v>
      </c>
    </row>
    <row r="450" spans="1:3">
      <c r="A450" s="146" t="e">
        <f>$C$1&amp;".E30A.REM.ADJ.PBSEC.DISB._INT.0_3_PERCT."</f>
        <v>#N/A</v>
      </c>
      <c r="B450" s="43">
        <f>ROUND(PAGE5!$K$20,5)</f>
        <v>0</v>
      </c>
      <c r="C450" s="43">
        <f>ROUND(PAGE5!$M$20,5)</f>
        <v>0</v>
      </c>
    </row>
    <row r="451" spans="1:3">
      <c r="A451" s="146" t="e">
        <f>$C$1&amp;".E30A.REM.PBSEC.DISB._INT.0_3_PERCT.TTL."</f>
        <v>#N/A</v>
      </c>
      <c r="B451" s="43">
        <f>ROUND(PAGE5!$P$20,5)</f>
        <v>0</v>
      </c>
      <c r="C451" s="43">
        <f>ROUND(PAGE5!$R$20,5)</f>
        <v>0</v>
      </c>
    </row>
    <row r="452" spans="1:3">
      <c r="A452" s="146" t="e">
        <f>$C$1&amp;".E30A.REM.FR.PBSEC.DISB._INT.3.1_4_PERCT."</f>
        <v>#N/A</v>
      </c>
      <c r="B452" s="43">
        <f>ROUND(PAGE5!$C$21,5)</f>
        <v>0</v>
      </c>
      <c r="C452" s="43">
        <f>ROUND(PAGE5!$E$21,5)</f>
        <v>0</v>
      </c>
    </row>
    <row r="453" spans="1:3">
      <c r="A453" s="146" t="e">
        <f>$C$1&amp;".E30A.REM.VAR.PBSEC.DISB._INT.3.1_4_PERCT."</f>
        <v>#N/A</v>
      </c>
      <c r="B453" s="43">
        <f>ROUND(PAGE5!$G$21,5)</f>
        <v>0</v>
      </c>
      <c r="C453" s="43">
        <f>ROUND(PAGE5!$I$21,5)</f>
        <v>0</v>
      </c>
    </row>
    <row r="454" spans="1:3">
      <c r="A454" s="146" t="e">
        <f>$C$1&amp;".E30A.REM.ADJ.PBSEC.DISB._INT.3.1_4_PERCT."</f>
        <v>#N/A</v>
      </c>
      <c r="B454" s="43">
        <f>ROUND(PAGE5!$K$21,5)</f>
        <v>0</v>
      </c>
      <c r="C454" s="43">
        <f>ROUND(PAGE5!$M$21,5)</f>
        <v>0</v>
      </c>
    </row>
    <row r="455" spans="1:3">
      <c r="A455" s="146" t="e">
        <f>$C$1&amp;".E30A.REM.PBSEC.DISB._INT.3.1_4_PERCT.TTL."</f>
        <v>#N/A</v>
      </c>
      <c r="B455" s="43">
        <f>ROUND(PAGE5!$P$21,5)</f>
        <v>0</v>
      </c>
      <c r="C455" s="43">
        <f>ROUND(PAGE5!$R$21,5)</f>
        <v>0</v>
      </c>
    </row>
    <row r="456" spans="1:3">
      <c r="A456" s="146" t="e">
        <f>$C$1&amp;".E30A.REM.FR.PBSEC.DISB._INT.4.1_5_PERCT."</f>
        <v>#N/A</v>
      </c>
      <c r="B456" s="43">
        <f>ROUND(PAGE5!$C$22,5)</f>
        <v>0</v>
      </c>
      <c r="C456" s="43">
        <f>ROUND(PAGE5!$E$22,5)</f>
        <v>0</v>
      </c>
    </row>
    <row r="457" spans="1:3">
      <c r="A457" s="146" t="e">
        <f>$C$1&amp;".E30A.REM.VAR.PBSEC.DISB._INT.4.1_5_PERCT."</f>
        <v>#N/A</v>
      </c>
      <c r="B457" s="43">
        <f>ROUND(PAGE5!$G$22,5)</f>
        <v>0</v>
      </c>
      <c r="C457" s="43">
        <f>ROUND(PAGE5!$I$22,5)</f>
        <v>0</v>
      </c>
    </row>
    <row r="458" spans="1:3">
      <c r="A458" s="146" t="e">
        <f>$C$1&amp;".E30A.REM.ADJ.PBSEC.DISB._INT.4.1_5_PERCT."</f>
        <v>#N/A</v>
      </c>
      <c r="B458" s="43">
        <f>ROUND(PAGE5!$K$22,5)</f>
        <v>0</v>
      </c>
      <c r="C458" s="43">
        <f>ROUND(PAGE5!$M$22,5)</f>
        <v>0</v>
      </c>
    </row>
    <row r="459" spans="1:3">
      <c r="A459" s="146" t="e">
        <f>$C$1&amp;".E30A.REM.PBSEC.DISB._INT.4.1_5_PERCT.TTL."</f>
        <v>#N/A</v>
      </c>
      <c r="B459" s="43">
        <f>ROUND(PAGE5!$P$22,5)</f>
        <v>0</v>
      </c>
      <c r="C459" s="43">
        <f>ROUND(PAGE5!$R$22,5)</f>
        <v>0</v>
      </c>
    </row>
    <row r="460" spans="1:3">
      <c r="A460" s="146" t="e">
        <f>$C$1&amp;".E30A.REM.FR.PBSEC.DISB._INT.5.1_6_PERCT."</f>
        <v>#N/A</v>
      </c>
      <c r="B460" s="43">
        <f>ROUND(PAGE5!$C$23,5)</f>
        <v>0</v>
      </c>
      <c r="C460" s="43">
        <f>ROUND(PAGE5!$E$23,5)</f>
        <v>0</v>
      </c>
    </row>
    <row r="461" spans="1:3">
      <c r="A461" s="146" t="e">
        <f>$C$1&amp;".E30A.REM.VAR.PBSEC.DISB._INT.5.1_6_PERCT."</f>
        <v>#N/A</v>
      </c>
      <c r="B461" s="43">
        <f>ROUND(PAGE5!$G$23,5)</f>
        <v>0</v>
      </c>
      <c r="C461" s="43">
        <f>ROUND(PAGE5!$I$23,5)</f>
        <v>0</v>
      </c>
    </row>
    <row r="462" spans="1:3">
      <c r="A462" s="146" t="e">
        <f>$C$1&amp;".E30A.REM.ADJ.PBSEC.DISB._INT.5.1_6_PERCT."</f>
        <v>#N/A</v>
      </c>
      <c r="B462" s="43">
        <f>ROUND(PAGE5!$K$23,5)</f>
        <v>0</v>
      </c>
      <c r="C462" s="43">
        <f>ROUND(PAGE5!$M$23,5)</f>
        <v>0</v>
      </c>
    </row>
    <row r="463" spans="1:3">
      <c r="A463" s="146" t="e">
        <f>$C$1&amp;".E30A.REM.PBSEC.DISB._INT.5.1_6_PERCT.TTL."</f>
        <v>#N/A</v>
      </c>
      <c r="B463" s="43">
        <f>ROUND(PAGE5!$P$23,5)</f>
        <v>0</v>
      </c>
      <c r="C463" s="43">
        <f>ROUND(PAGE5!$R$23,5)</f>
        <v>0</v>
      </c>
    </row>
    <row r="464" spans="1:3">
      <c r="A464" s="146" t="e">
        <f>$C$1&amp;".E30A.REM.FR.PBSEC.DISB._INT.6.1_7_PERCT."</f>
        <v>#N/A</v>
      </c>
      <c r="B464" s="43">
        <f>ROUND(PAGE5!$C$24,5)</f>
        <v>0</v>
      </c>
      <c r="C464" s="43">
        <f>ROUND(PAGE5!$E$24,5)</f>
        <v>0</v>
      </c>
    </row>
    <row r="465" spans="1:3">
      <c r="A465" s="146" t="e">
        <f>$C$1&amp;".E30A.REM.VAR.PBSEC.DISB._INT.6.1_7_PERCT."</f>
        <v>#N/A</v>
      </c>
      <c r="B465" s="43">
        <f>ROUND(PAGE5!$G$24,5)</f>
        <v>0</v>
      </c>
      <c r="C465" s="43">
        <f>ROUND(PAGE5!$I$24,5)</f>
        <v>0</v>
      </c>
    </row>
    <row r="466" spans="1:3">
      <c r="A466" s="146" t="e">
        <f>$C$1&amp;".E30A.REM.ADJ.PBSEC.DISB._INT.6.1_7_PERCT."</f>
        <v>#N/A</v>
      </c>
      <c r="B466" s="43">
        <f>ROUND(PAGE5!$K$24,5)</f>
        <v>0</v>
      </c>
      <c r="C466" s="43">
        <f>ROUND(PAGE5!$M$24,5)</f>
        <v>0</v>
      </c>
    </row>
    <row r="467" spans="1:3">
      <c r="A467" s="146" t="e">
        <f>$C$1&amp;".E30A.REM.PBSEC.DISB._INT.6.1_7_PERCT.TTL."</f>
        <v>#N/A</v>
      </c>
      <c r="B467" s="43">
        <f>ROUND(PAGE5!$P$24,5)</f>
        <v>0</v>
      </c>
      <c r="C467" s="43">
        <f>ROUND(PAGE5!$R$24,5)</f>
        <v>0</v>
      </c>
    </row>
    <row r="468" spans="1:3">
      <c r="A468" s="146" t="e">
        <f>$C$1&amp;".E30A.REM.FR.PBSEC.DISB._INT.7.1_8_PERCT."</f>
        <v>#N/A</v>
      </c>
      <c r="B468" s="43">
        <f>ROUND(PAGE5!$C$25,5)</f>
        <v>0</v>
      </c>
      <c r="C468" s="43">
        <f>ROUND(PAGE5!$E$25,5)</f>
        <v>0</v>
      </c>
    </row>
    <row r="469" spans="1:3">
      <c r="A469" s="146" t="e">
        <f>$C$1&amp;".E30A.REM.VAR.PBSEC.DISB._INT.7.1_8_PERCT."</f>
        <v>#N/A</v>
      </c>
      <c r="B469" s="43">
        <f>ROUND(PAGE5!$G$25,5)</f>
        <v>0</v>
      </c>
      <c r="C469" s="43">
        <f>ROUND(PAGE5!$I$25,5)</f>
        <v>0</v>
      </c>
    </row>
    <row r="470" spans="1:3">
      <c r="A470" s="146" t="e">
        <f>$C$1&amp;".E30A.REM.ADJ.PBSEC.DISB._INT.7.1_8_PERCT."</f>
        <v>#N/A</v>
      </c>
      <c r="B470" s="43">
        <f>ROUND(PAGE5!$K$25,5)</f>
        <v>0</v>
      </c>
      <c r="C470" s="43">
        <f>ROUND(PAGE5!$M$25,5)</f>
        <v>0</v>
      </c>
    </row>
    <row r="471" spans="1:3">
      <c r="A471" s="146" t="e">
        <f>$C$1&amp;".E30A.REM.PBSEC.DISB._INT.7.1_8_PERCT.TTL."</f>
        <v>#N/A</v>
      </c>
      <c r="B471" s="43">
        <f>ROUND(PAGE5!$P$25,5)</f>
        <v>0</v>
      </c>
      <c r="C471" s="43">
        <f>ROUND(PAGE5!$R$25,5)</f>
        <v>0</v>
      </c>
    </row>
    <row r="472" spans="1:3">
      <c r="A472" s="146" t="e">
        <f>$C$1&amp;".E30A.REM.FR.PBSEC.DISB._INT.8.1_9_PERCT."</f>
        <v>#N/A</v>
      </c>
      <c r="B472" s="43">
        <f>ROUND(PAGE5!$C$26,5)</f>
        <v>0</v>
      </c>
      <c r="C472" s="43">
        <f>ROUND(PAGE5!$E$26,5)</f>
        <v>0</v>
      </c>
    </row>
    <row r="473" spans="1:3">
      <c r="A473" s="146" t="e">
        <f>$C$1&amp;".E30A.REM.VAR.PBSEC.DISB._INT.8.1_9_PERCT."</f>
        <v>#N/A</v>
      </c>
      <c r="B473" s="43">
        <f>ROUND(PAGE5!$G$26,5)</f>
        <v>0</v>
      </c>
      <c r="C473" s="43">
        <f>ROUND(PAGE5!$I$26,5)</f>
        <v>0</v>
      </c>
    </row>
    <row r="474" spans="1:3">
      <c r="A474" s="146" t="e">
        <f>$C$1&amp;".E30A.REM.ADJ.PBSEC.DISB._INT.8.1_9_PERCT."</f>
        <v>#N/A</v>
      </c>
      <c r="B474" s="43">
        <f>ROUND(PAGE5!$K$26,5)</f>
        <v>0</v>
      </c>
      <c r="C474" s="43">
        <f>ROUND(PAGE5!$M$26,5)</f>
        <v>0</v>
      </c>
    </row>
    <row r="475" spans="1:3">
      <c r="A475" s="146" t="e">
        <f>$C$1&amp;".E30A.REM.PBSEC.DISB._INT.8.1_9_PERCT.TTL."</f>
        <v>#N/A</v>
      </c>
      <c r="B475" s="43">
        <f>ROUND(PAGE5!$P$26,5)</f>
        <v>0</v>
      </c>
      <c r="C475" s="43">
        <f>ROUND(PAGE5!$R$26,5)</f>
        <v>0</v>
      </c>
    </row>
    <row r="476" spans="1:3">
      <c r="A476" s="146" t="e">
        <f>$C$1&amp;".E30A.REM.FR.PBSEC.DISB._INT.9.1_10_PERCT."</f>
        <v>#N/A</v>
      </c>
      <c r="B476" s="43">
        <f>ROUND(PAGE5!$C$27,5)</f>
        <v>0</v>
      </c>
      <c r="C476" s="43">
        <f>ROUND(PAGE5!$E$27,5)</f>
        <v>0</v>
      </c>
    </row>
    <row r="477" spans="1:3">
      <c r="A477" s="146" t="e">
        <f>$C$1&amp;".E30A.REM.VAR.PBSEC.DISB._INT.9.1_10_PERCT."</f>
        <v>#N/A</v>
      </c>
      <c r="B477" s="43">
        <f>ROUND(PAGE5!$G$27,5)</f>
        <v>0</v>
      </c>
      <c r="C477" s="43">
        <f>ROUND(PAGE5!$I$27,5)</f>
        <v>0</v>
      </c>
    </row>
    <row r="478" spans="1:3">
      <c r="A478" s="146" t="e">
        <f>$C$1&amp;".E30A.REM.ADJ.PBSEC.DISB._INT.9.1_10_PERCT."</f>
        <v>#N/A</v>
      </c>
      <c r="B478" s="43">
        <f>ROUND(PAGE5!$K$27,5)</f>
        <v>0</v>
      </c>
      <c r="C478" s="43">
        <f>ROUND(PAGE5!$M$27,5)</f>
        <v>0</v>
      </c>
    </row>
    <row r="479" spans="1:3">
      <c r="A479" s="146" t="e">
        <f>$C$1&amp;".E30A.REM.PBSEC.DISB._INT.9.1_10_PERCT.TTL."</f>
        <v>#N/A</v>
      </c>
      <c r="B479" s="43">
        <f>ROUND(PAGE5!$P$27,5)</f>
        <v>0</v>
      </c>
      <c r="C479" s="43">
        <f>ROUND(PAGE5!$R$27,5)</f>
        <v>0</v>
      </c>
    </row>
    <row r="480" spans="1:3">
      <c r="A480" s="146" t="e">
        <f>$C$1&amp;".E30A.REM.FR.PBSEC.DISB._INT.10.1_11_PERCT."</f>
        <v>#N/A</v>
      </c>
      <c r="B480" s="43">
        <f>ROUND(PAGE5!$C$28,5)</f>
        <v>0</v>
      </c>
      <c r="C480" s="43">
        <f>ROUND(PAGE5!$E$28,5)</f>
        <v>0</v>
      </c>
    </row>
    <row r="481" spans="1:3">
      <c r="A481" s="146" t="e">
        <f>$C$1&amp;".E30A.REM.VAR.PBSEC.DISB._INT.10.1_11_PERCT."</f>
        <v>#N/A</v>
      </c>
      <c r="B481" s="43">
        <f>ROUND(PAGE5!$G$28,5)</f>
        <v>0</v>
      </c>
      <c r="C481" s="43">
        <f>ROUND(PAGE5!$I$28,5)</f>
        <v>0</v>
      </c>
    </row>
    <row r="482" spans="1:3">
      <c r="A482" s="146" t="e">
        <f>$C$1&amp;".E30A.REM.ADJ.PBSEC.DISB._INT.10.1_11_PERCT."</f>
        <v>#N/A</v>
      </c>
      <c r="B482" s="43">
        <f>ROUND(PAGE5!$K$28,5)</f>
        <v>0</v>
      </c>
      <c r="C482" s="43">
        <f>ROUND(PAGE5!$M$28,5)</f>
        <v>0</v>
      </c>
    </row>
    <row r="483" spans="1:3">
      <c r="A483" s="146" t="e">
        <f>$C$1&amp;".E30A.REM.PBSEC.DISB._INT.10.1_11_PERCT.TTL."</f>
        <v>#N/A</v>
      </c>
      <c r="B483" s="43">
        <f>ROUND(PAGE5!$P$28,5)</f>
        <v>0</v>
      </c>
      <c r="C483" s="43">
        <f>ROUND(PAGE5!$R$28,5)</f>
        <v>0</v>
      </c>
    </row>
    <row r="484" spans="1:3">
      <c r="A484" s="146" t="e">
        <f>$C$1&amp;".E30A.REM.FR.PBSEC.DISB._INT.11.1_12_PERCT."</f>
        <v>#N/A</v>
      </c>
      <c r="B484" s="43">
        <f>ROUND(PAGE5!$C$29,5)</f>
        <v>0</v>
      </c>
      <c r="C484" s="43">
        <f>ROUND(PAGE5!$E$29,5)</f>
        <v>0</v>
      </c>
    </row>
    <row r="485" spans="1:3">
      <c r="A485" s="146" t="e">
        <f>$C$1&amp;".E30A.REM.VAR.PBSEC.DISB._INT.11.1_12_PERCT."</f>
        <v>#N/A</v>
      </c>
      <c r="B485" s="43">
        <f>ROUND(PAGE5!$G$29,5)</f>
        <v>0</v>
      </c>
      <c r="C485" s="43">
        <f>ROUND(PAGE5!$I$29,5)</f>
        <v>0</v>
      </c>
    </row>
    <row r="486" spans="1:3">
      <c r="A486" s="146" t="e">
        <f>$C$1&amp;".E30A.REM.ADJ.PBSEC.DISB._INT.11.1_12_PERCT."</f>
        <v>#N/A</v>
      </c>
      <c r="B486" s="43">
        <f>ROUND(PAGE5!$K$29,5)</f>
        <v>0</v>
      </c>
      <c r="C486" s="43">
        <f>ROUND(PAGE5!$M$29,5)</f>
        <v>0</v>
      </c>
    </row>
    <row r="487" spans="1:3">
      <c r="A487" s="146" t="e">
        <f>$C$1&amp;".E30A.REM.PBSEC.DISB._INT.11.1_12_PERCT.TTL."</f>
        <v>#N/A</v>
      </c>
      <c r="B487" s="43">
        <f>ROUND(PAGE5!$P$29,5)</f>
        <v>0</v>
      </c>
      <c r="C487" s="43">
        <f>ROUND(PAGE5!$R$29,5)</f>
        <v>0</v>
      </c>
    </row>
    <row r="488" spans="1:3">
      <c r="A488" s="146" t="e">
        <f>$C$1&amp;".E30A.REM.FR.PBSEC.DISB._INT.12.1_13_PERCT."</f>
        <v>#N/A</v>
      </c>
      <c r="B488" s="43">
        <f>ROUND(PAGE5!$C$30,5)</f>
        <v>0</v>
      </c>
      <c r="C488" s="43">
        <f>ROUND(PAGE5!$E$30,5)</f>
        <v>0</v>
      </c>
    </row>
    <row r="489" spans="1:3">
      <c r="A489" s="146" t="e">
        <f>$C$1&amp;".E30A.REM.VAR.PBSEC.DISB._INT.12.1_13_PERCT."</f>
        <v>#N/A</v>
      </c>
      <c r="B489" s="43">
        <f>ROUND(PAGE5!$G$30,5)</f>
        <v>0</v>
      </c>
      <c r="C489" s="43">
        <f>ROUND(PAGE5!$I$30,5)</f>
        <v>0</v>
      </c>
    </row>
    <row r="490" spans="1:3">
      <c r="A490" s="146" t="e">
        <f>$C$1&amp;".E30A.REM.ADJ.PBSEC.DISB._INT.12.1_13_PERCT."</f>
        <v>#N/A</v>
      </c>
      <c r="B490" s="43">
        <f>ROUND(PAGE5!$K$30,5)</f>
        <v>0</v>
      </c>
      <c r="C490" s="43">
        <f>ROUND(PAGE5!$M$30,5)</f>
        <v>0</v>
      </c>
    </row>
    <row r="491" spans="1:3">
      <c r="A491" s="146" t="e">
        <f>$C$1&amp;".E30A.REM.PBSEC.DISB._INT.12.1_13_PERCT.TTL."</f>
        <v>#N/A</v>
      </c>
      <c r="B491" s="43">
        <f>ROUND(PAGE5!$P$30,5)</f>
        <v>0</v>
      </c>
      <c r="C491" s="43">
        <f>ROUND(PAGE5!$R$30,5)</f>
        <v>0</v>
      </c>
    </row>
    <row r="492" spans="1:3">
      <c r="A492" s="146" t="e">
        <f>$C$1&amp;".E30A.REM.FR.PBSEC.DISB._INT.13.1_14_PERCT."</f>
        <v>#N/A</v>
      </c>
      <c r="B492" s="43">
        <f>ROUND(PAGE5!$C$31,5)</f>
        <v>0</v>
      </c>
      <c r="C492" s="43">
        <f>ROUND(PAGE5!$E$31,5)</f>
        <v>0</v>
      </c>
    </row>
    <row r="493" spans="1:3">
      <c r="A493" s="146" t="e">
        <f>$C$1&amp;".E30A.REM.VAR.PBSEC.DISB._INT.13.1_14_PERCT."</f>
        <v>#N/A</v>
      </c>
      <c r="B493" s="43">
        <f>ROUND(PAGE5!$G$31,5)</f>
        <v>0</v>
      </c>
      <c r="C493" s="43">
        <f>ROUND(PAGE5!$I$31,5)</f>
        <v>0</v>
      </c>
    </row>
    <row r="494" spans="1:3">
      <c r="A494" s="146" t="e">
        <f>$C$1&amp;".E30A.REM.ADJ.PBSEC.DISB._INT.13.1_14_PERCT."</f>
        <v>#N/A</v>
      </c>
      <c r="B494" s="43">
        <f>ROUND(PAGE5!$K$31,5)</f>
        <v>0</v>
      </c>
      <c r="C494" s="43">
        <f>ROUND(PAGE5!$M$31,5)</f>
        <v>0</v>
      </c>
    </row>
    <row r="495" spans="1:3">
      <c r="A495" s="146" t="e">
        <f>$C$1&amp;".E30A.REM.PBSEC.DISB._INT.13.1_14_PERCT.TTL."</f>
        <v>#N/A</v>
      </c>
      <c r="B495" s="43">
        <f>ROUND(PAGE5!$P$31,5)</f>
        <v>0</v>
      </c>
      <c r="C495" s="43">
        <f>ROUND(PAGE5!$R$31,5)</f>
        <v>0</v>
      </c>
    </row>
    <row r="496" spans="1:3">
      <c r="A496" s="146" t="e">
        <f>$C$1&amp;".E30A.REM.FR.PBSEC.DISB._INT.14.1_15_PERCT."</f>
        <v>#N/A</v>
      </c>
      <c r="B496" s="43">
        <f>ROUND(PAGE5!$C$32,5)</f>
        <v>0</v>
      </c>
      <c r="C496" s="43">
        <f>ROUND(PAGE5!$E$32,5)</f>
        <v>0</v>
      </c>
    </row>
    <row r="497" spans="1:3">
      <c r="A497" s="146" t="e">
        <f>$C$1&amp;".E30A.REM.VAR.PBSEC.DISB._INT.14.1_15_PERCT."</f>
        <v>#N/A</v>
      </c>
      <c r="B497" s="43">
        <f>ROUND(PAGE5!$G$32,5)</f>
        <v>0</v>
      </c>
      <c r="C497" s="43">
        <f>ROUND(PAGE5!$I$32,5)</f>
        <v>0</v>
      </c>
    </row>
    <row r="498" spans="1:3">
      <c r="A498" s="146" t="e">
        <f>$C$1&amp;".E30A.REM.ADJ.PBSEC.DISB._INT.14.1_15_PERCT."</f>
        <v>#N/A</v>
      </c>
      <c r="B498" s="43">
        <f>ROUND(PAGE5!$K$32,5)</f>
        <v>0</v>
      </c>
      <c r="C498" s="43">
        <f>ROUND(PAGE5!$M$32,5)</f>
        <v>0</v>
      </c>
    </row>
    <row r="499" spans="1:3">
      <c r="A499" s="146" t="e">
        <f>$C$1&amp;".E30A.REM.PBSEC.DISB._INT.14.1_15_PERCT.TTL."</f>
        <v>#N/A</v>
      </c>
      <c r="B499" s="43">
        <f>ROUND(PAGE5!$P$32,5)</f>
        <v>0</v>
      </c>
      <c r="C499" s="43">
        <f>ROUND(PAGE5!$R$32,5)</f>
        <v>0</v>
      </c>
    </row>
    <row r="500" spans="1:3">
      <c r="A500" s="146" t="e">
        <f>$C$1&amp;".E30A.REM.FR.PBSEC.DISB._INT.OVR_15.1_PERCT."</f>
        <v>#N/A</v>
      </c>
      <c r="B500" s="43">
        <f>ROUND(PAGE5!$C$33,5)</f>
        <v>0</v>
      </c>
      <c r="C500" s="43">
        <f>ROUND(PAGE5!$E$33,5)</f>
        <v>0</v>
      </c>
    </row>
    <row r="501" spans="1:3">
      <c r="A501" s="146" t="e">
        <f>$C$1&amp;".E30A.REM.VAR.PBSEC.DISB._INT.OVR_15.1_PERCT."</f>
        <v>#N/A</v>
      </c>
      <c r="B501" s="43">
        <f>ROUND(PAGE5!$G$33,5)</f>
        <v>0</v>
      </c>
      <c r="C501" s="43">
        <f>ROUND(PAGE5!$I$33,5)</f>
        <v>0</v>
      </c>
    </row>
    <row r="502" spans="1:3">
      <c r="A502" s="146" t="e">
        <f>$C$1&amp;".E30A.REM.ADJ.PBSEC.DISB._INT.OVR_15.1_PERCT."</f>
        <v>#N/A</v>
      </c>
      <c r="B502" s="43">
        <f>ROUND(PAGE5!$K$33,5)</f>
        <v>0</v>
      </c>
      <c r="C502" s="43">
        <f>ROUND(PAGE5!$M$33,5)</f>
        <v>0</v>
      </c>
    </row>
    <row r="503" spans="1:3">
      <c r="A503" s="146" t="e">
        <f>$C$1&amp;".E30A.REM.PBSEC.DISB._INT.OVR_15.1_PERCT.TTL."</f>
        <v>#N/A</v>
      </c>
      <c r="B503" s="43">
        <f>ROUND(PAGE5!$P$33,5)</f>
        <v>0</v>
      </c>
      <c r="C503" s="43">
        <f>ROUND(PAGE5!$R$33,5)</f>
        <v>0</v>
      </c>
    </row>
    <row r="504" spans="1:3">
      <c r="A504" s="146" t="e">
        <f>$C$1&amp;".E30A.REM.PBSEC.DISB.TTL."</f>
        <v>#N/A</v>
      </c>
      <c r="B504" s="43">
        <f>ROUND(PAGE5!P35,5)</f>
        <v>0</v>
      </c>
      <c r="C504" s="43">
        <f>ROUND(PAGE5!R35,5)</f>
        <v>0</v>
      </c>
    </row>
    <row r="505" spans="1:3">
      <c r="A505" s="146" t="e">
        <f>$C$1&amp;".E30A.REM.FR.PVFIN.DISB._INT.0_3_PERCT."</f>
        <v>#N/A</v>
      </c>
      <c r="B505" s="43">
        <f>ROUND(PAGE5!$C$39,5)</f>
        <v>0</v>
      </c>
      <c r="C505" s="43">
        <f>ROUND(PAGE5!$E$39,5)</f>
        <v>0</v>
      </c>
    </row>
    <row r="506" spans="1:3">
      <c r="A506" s="146" t="e">
        <f>$C$1&amp;".E30A.REM.VAR.PVFIN.DISB._INT.0_3_PERCT."</f>
        <v>#N/A</v>
      </c>
      <c r="B506" s="43">
        <f>ROUND(PAGE5!$G$39,5)</f>
        <v>0</v>
      </c>
      <c r="C506" s="43">
        <f>ROUND(PAGE5!$I$39,5)</f>
        <v>0</v>
      </c>
    </row>
    <row r="507" spans="1:3">
      <c r="A507" s="146" t="e">
        <f>$C$1&amp;".E30A.REM.ADJ.PVFIN.DISB._INT.0_3_PERCT."</f>
        <v>#N/A</v>
      </c>
      <c r="B507" s="43">
        <f>ROUND(PAGE5!$K$39,5)</f>
        <v>0</v>
      </c>
      <c r="C507" s="43">
        <f>ROUND(PAGE5!$M$39,5)</f>
        <v>0</v>
      </c>
    </row>
    <row r="508" spans="1:3">
      <c r="A508" s="146" t="e">
        <f>$C$1&amp;".E30A.REM.PVFIN.DISB._INT.0_3_PERCT.TTL."</f>
        <v>#N/A</v>
      </c>
      <c r="B508" s="43">
        <f>ROUND(PAGE5!$P$39,5)</f>
        <v>0</v>
      </c>
      <c r="C508" s="43">
        <f>ROUND(PAGE5!$R$39,5)</f>
        <v>0</v>
      </c>
    </row>
    <row r="509" spans="1:3">
      <c r="A509" s="146" t="e">
        <f>$C$1&amp;".E30A.REM.FR.PVFIN.DISB._INT.3.1_4_PERCT."</f>
        <v>#N/A</v>
      </c>
      <c r="B509" s="43">
        <f>ROUND(PAGE5!$C$40,5)</f>
        <v>0</v>
      </c>
      <c r="C509" s="43">
        <f>ROUND(PAGE5!$E$40,5)</f>
        <v>0</v>
      </c>
    </row>
    <row r="510" spans="1:3">
      <c r="A510" s="146" t="e">
        <f>$C$1&amp;".E30A.REM.VAR.PVFIN.DISB._INT.3.1_4_PERCT."</f>
        <v>#N/A</v>
      </c>
      <c r="B510" s="43">
        <f>ROUND(PAGE5!$G$40,5)</f>
        <v>0</v>
      </c>
      <c r="C510" s="43">
        <f>ROUND(PAGE5!$I$40,5)</f>
        <v>0</v>
      </c>
    </row>
    <row r="511" spans="1:3">
      <c r="A511" s="146" t="e">
        <f>$C$1&amp;".E30A.REM.ADJ.PVFIN.DISB._INT.3.1_4_PERCT."</f>
        <v>#N/A</v>
      </c>
      <c r="B511" s="43">
        <f>ROUND(PAGE5!$K$40,5)</f>
        <v>0</v>
      </c>
      <c r="C511" s="43">
        <f>ROUND(PAGE5!$M$40,5)</f>
        <v>0</v>
      </c>
    </row>
    <row r="512" spans="1:3">
      <c r="A512" s="146" t="e">
        <f>$C$1&amp;".E30A.REM.PVFIN.DISB._INT.3.1_4_PERCT.TTL."</f>
        <v>#N/A</v>
      </c>
      <c r="B512" s="43">
        <f>ROUND(PAGE5!$P$40,5)</f>
        <v>0</v>
      </c>
      <c r="C512" s="43">
        <f>ROUND(PAGE5!$R$40,5)</f>
        <v>0</v>
      </c>
    </row>
    <row r="513" spans="1:3">
      <c r="A513" s="146" t="e">
        <f>$C$1&amp;".E30A.REM.FR.PVFIN.DISB._INT.4.1_5_PERCT."</f>
        <v>#N/A</v>
      </c>
      <c r="B513" s="43">
        <f>ROUND(PAGE5!$C$41,5)</f>
        <v>0</v>
      </c>
      <c r="C513" s="43">
        <f>ROUND(PAGE5!$E$41,5)</f>
        <v>0</v>
      </c>
    </row>
    <row r="514" spans="1:3">
      <c r="A514" s="146" t="e">
        <f>$C$1&amp;".E30A.REM.VAR.PVFIN.DISB._INT.4.1_5_PERCT."</f>
        <v>#N/A</v>
      </c>
      <c r="B514" s="43">
        <f>ROUND(PAGE5!$G$41,5)</f>
        <v>0</v>
      </c>
      <c r="C514" s="43">
        <f>ROUND(PAGE5!$I$41,5)</f>
        <v>0</v>
      </c>
    </row>
    <row r="515" spans="1:3">
      <c r="A515" s="146" t="e">
        <f>$C$1&amp;".E30A.REM.ADJ.PVFIN.DISB._INT.4.1_5_PERCT."</f>
        <v>#N/A</v>
      </c>
      <c r="B515" s="43">
        <f>ROUND(PAGE5!$K$41,5)</f>
        <v>0</v>
      </c>
      <c r="C515" s="43">
        <f>ROUND(PAGE5!$M$41,5)</f>
        <v>0</v>
      </c>
    </row>
    <row r="516" spans="1:3">
      <c r="A516" s="146" t="e">
        <f>$C$1&amp;".E30A.REM.PVFIN.DISB._INT.4.1_5_PERCT.TTL."</f>
        <v>#N/A</v>
      </c>
      <c r="B516" s="43">
        <f>ROUND(PAGE5!$P$41,5)</f>
        <v>0</v>
      </c>
      <c r="C516" s="43">
        <f>ROUND(PAGE5!$R$41,5)</f>
        <v>0</v>
      </c>
    </row>
    <row r="517" spans="1:3">
      <c r="A517" s="146" t="e">
        <f>$C$1&amp;".E30A.REM.FR.PVFIN.DISB._INT.5.1_6_PERCT."</f>
        <v>#N/A</v>
      </c>
      <c r="B517" s="43">
        <f>ROUND(PAGE5!$C$42,5)</f>
        <v>0</v>
      </c>
      <c r="C517" s="43">
        <f>ROUND(PAGE5!$E$42,5)</f>
        <v>0</v>
      </c>
    </row>
    <row r="518" spans="1:3">
      <c r="A518" s="146" t="e">
        <f>$C$1&amp;".E30A.REM.VAR.PVFIN.DISB._INT.5.1_6_PERCT."</f>
        <v>#N/A</v>
      </c>
      <c r="B518" s="43">
        <f>ROUND(PAGE5!$G$42,5)</f>
        <v>0</v>
      </c>
      <c r="C518" s="43">
        <f>ROUND(PAGE5!$I$42,5)</f>
        <v>0</v>
      </c>
    </row>
    <row r="519" spans="1:3">
      <c r="A519" s="146" t="e">
        <f>$C$1&amp;".E30A.REM.ADJ.PVFIN.DISB._INT.5.1_6_PERCT."</f>
        <v>#N/A</v>
      </c>
      <c r="B519" s="43">
        <f>ROUND(PAGE5!$K$42,5)</f>
        <v>0</v>
      </c>
      <c r="C519" s="43">
        <f>ROUND(PAGE5!$M$42,5)</f>
        <v>0</v>
      </c>
    </row>
    <row r="520" spans="1:3">
      <c r="A520" s="146" t="e">
        <f>$C$1&amp;".E30A.REM.PVFIN.DISB._INT.5.1_6_PERCT.TTL."</f>
        <v>#N/A</v>
      </c>
      <c r="B520" s="43">
        <f>ROUND(PAGE5!$P$42,5)</f>
        <v>0</v>
      </c>
      <c r="C520" s="43">
        <f>ROUND(PAGE5!$R$42,5)</f>
        <v>0</v>
      </c>
    </row>
    <row r="521" spans="1:3">
      <c r="A521" s="146" t="e">
        <f>$C$1&amp;".E30A.REM.FR.PVFIN.DISB._INT.6.1_7_PERCT."</f>
        <v>#N/A</v>
      </c>
      <c r="B521" s="43">
        <f>ROUND(PAGE5!$C$43,5)</f>
        <v>0</v>
      </c>
      <c r="C521" s="43">
        <f>ROUND(PAGE5!$E$43,5)</f>
        <v>0</v>
      </c>
    </row>
    <row r="522" spans="1:3">
      <c r="A522" s="146" t="e">
        <f>$C$1&amp;".E30A.REM.VAR.PVFIN.DISB._INT.6.1_7_PERCT."</f>
        <v>#N/A</v>
      </c>
      <c r="B522" s="43">
        <f>ROUND(PAGE5!$G$43,5)</f>
        <v>0</v>
      </c>
      <c r="C522" s="43">
        <f>ROUND(PAGE5!$I$43,5)</f>
        <v>0</v>
      </c>
    </row>
    <row r="523" spans="1:3">
      <c r="A523" s="146" t="e">
        <f>$C$1&amp;".E30A.REM.ADJ.PVFIN.DISB._INT.6.1_7_PERCT."</f>
        <v>#N/A</v>
      </c>
      <c r="B523" s="43">
        <f>ROUND(PAGE5!$K$43,5)</f>
        <v>0</v>
      </c>
      <c r="C523" s="43">
        <f>ROUND(PAGE5!$M$43,5)</f>
        <v>0</v>
      </c>
    </row>
    <row r="524" spans="1:3">
      <c r="A524" s="146" t="e">
        <f>$C$1&amp;".E30A.REM.PVFIN.DISB._INT.6.1_7_PERCT.TTL."</f>
        <v>#N/A</v>
      </c>
      <c r="B524" s="43">
        <f>ROUND(PAGE5!$P$43,5)</f>
        <v>0</v>
      </c>
      <c r="C524" s="43">
        <f>ROUND(PAGE5!$R$43,5)</f>
        <v>0</v>
      </c>
    </row>
    <row r="525" spans="1:3">
      <c r="A525" s="146" t="e">
        <f>$C$1&amp;".E30A.REM.FR.PVFIN.DISB._INT.7.1_8_PERCT."</f>
        <v>#N/A</v>
      </c>
      <c r="B525" s="43">
        <f>ROUND(PAGE5!$C$44,5)</f>
        <v>0</v>
      </c>
      <c r="C525" s="43">
        <f>ROUND(PAGE5!$E$44,5)</f>
        <v>0</v>
      </c>
    </row>
    <row r="526" spans="1:3">
      <c r="A526" s="146" t="e">
        <f>$C$1&amp;".E30A.REM.VAR.PVFIN.DISB._INT.7.1_8_PERCT."</f>
        <v>#N/A</v>
      </c>
      <c r="B526" s="43">
        <f>ROUND(PAGE5!$G$44,5)</f>
        <v>0</v>
      </c>
      <c r="C526" s="43">
        <f>ROUND(PAGE5!$I$44,5)</f>
        <v>0</v>
      </c>
    </row>
    <row r="527" spans="1:3">
      <c r="A527" s="146" t="e">
        <f>$C$1&amp;".E30A.REM.ADJ.PVFIN.DISB._INT.7.1_8_PERCT."</f>
        <v>#N/A</v>
      </c>
      <c r="B527" s="43">
        <f>ROUND(PAGE5!$K$44,5)</f>
        <v>0</v>
      </c>
      <c r="C527" s="43">
        <f>ROUND(PAGE5!$M$44,5)</f>
        <v>0</v>
      </c>
    </row>
    <row r="528" spans="1:3">
      <c r="A528" s="146" t="e">
        <f>$C$1&amp;".E30A.REM.PVFIN.DISB._INT.7.1_8_PERCT.TTL."</f>
        <v>#N/A</v>
      </c>
      <c r="B528" s="43">
        <f>ROUND(PAGE5!$P$44,5)</f>
        <v>0</v>
      </c>
      <c r="C528" s="43">
        <f>ROUND(PAGE5!$R$44,5)</f>
        <v>0</v>
      </c>
    </row>
    <row r="529" spans="1:3">
      <c r="A529" s="146" t="e">
        <f>$C$1&amp;".E30A.REM.FR.PVFIN.DISB._INT.8.1_9_PERCT."</f>
        <v>#N/A</v>
      </c>
      <c r="B529" s="43">
        <f>ROUND(PAGE5!$C$45,5)</f>
        <v>0</v>
      </c>
      <c r="C529" s="43">
        <f>ROUND(PAGE5!$E$45,5)</f>
        <v>0</v>
      </c>
    </row>
    <row r="530" spans="1:3">
      <c r="A530" s="146" t="e">
        <f>$C$1&amp;".E30A.REM.VAR.PVFIN.DISB._INT.8.1_9_PERCT."</f>
        <v>#N/A</v>
      </c>
      <c r="B530" s="43">
        <f>ROUND(PAGE5!$G$45,5)</f>
        <v>0</v>
      </c>
      <c r="C530" s="43">
        <f>ROUND(PAGE5!$I$45,5)</f>
        <v>0</v>
      </c>
    </row>
    <row r="531" spans="1:3">
      <c r="A531" s="146" t="e">
        <f>$C$1&amp;".E30A.REM.ADJ.PVFIN.DISB._INT.8.1_9_PERCT."</f>
        <v>#N/A</v>
      </c>
      <c r="B531" s="43">
        <f>ROUND(PAGE5!$K$45,5)</f>
        <v>0</v>
      </c>
      <c r="C531" s="43">
        <f>ROUND(PAGE5!$M$45,5)</f>
        <v>0</v>
      </c>
    </row>
    <row r="532" spans="1:3">
      <c r="A532" s="146" t="e">
        <f>$C$1&amp;".E30A.REM.PVFIN.DISB._INT.8.1_9_PERCT.TTL."</f>
        <v>#N/A</v>
      </c>
      <c r="B532" s="43">
        <f>ROUND(PAGE5!$P$45,5)</f>
        <v>0</v>
      </c>
      <c r="C532" s="43">
        <f>ROUND(PAGE5!$R$45,5)</f>
        <v>0</v>
      </c>
    </row>
    <row r="533" spans="1:3">
      <c r="A533" s="146" t="e">
        <f>$C$1&amp;".E30A.REM.FR.PVFIN.DISB._INT.9.1_10_PERCT."</f>
        <v>#N/A</v>
      </c>
      <c r="B533" s="43">
        <f>ROUND(PAGE5!$C$46,5)</f>
        <v>0</v>
      </c>
      <c r="C533" s="43">
        <f>ROUND(PAGE5!$E$46,5)</f>
        <v>0</v>
      </c>
    </row>
    <row r="534" spans="1:3">
      <c r="A534" s="146" t="e">
        <f>$C$1&amp;".E30A.REM.VAR.PVFIN.DISB._INT.9.1_10_PERCT."</f>
        <v>#N/A</v>
      </c>
      <c r="B534" s="43">
        <f>ROUND(PAGE5!$G$46,5)</f>
        <v>0</v>
      </c>
      <c r="C534" s="43">
        <f>ROUND(PAGE5!$I$46,5)</f>
        <v>0</v>
      </c>
    </row>
    <row r="535" spans="1:3">
      <c r="A535" s="146" t="e">
        <f>$C$1&amp;".E30A.REM.ADJ.PVFIN.DISB._INT.9.1_10_PERCT."</f>
        <v>#N/A</v>
      </c>
      <c r="B535" s="43">
        <f>ROUND(PAGE5!$K$46,5)</f>
        <v>0</v>
      </c>
      <c r="C535" s="43">
        <f>ROUND(PAGE5!$M$46,5)</f>
        <v>0</v>
      </c>
    </row>
    <row r="536" spans="1:3">
      <c r="A536" s="146" t="e">
        <f>$C$1&amp;".E30A.REM.PVFIN.DISB._INT.9.1_10_PERCT.TTL."</f>
        <v>#N/A</v>
      </c>
      <c r="B536" s="43">
        <f>ROUND(PAGE5!$P$46,5)</f>
        <v>0</v>
      </c>
      <c r="C536" s="43">
        <f>ROUND(PAGE5!$R$46,5)</f>
        <v>0</v>
      </c>
    </row>
    <row r="537" spans="1:3">
      <c r="A537" s="146" t="e">
        <f>$C$1&amp;".E30A.REM.FR.PVFIN.DISB._INT.10.1_11_PERCT."</f>
        <v>#N/A</v>
      </c>
      <c r="B537" s="43">
        <f>ROUND(PAGE5!$C$47,5)</f>
        <v>0</v>
      </c>
      <c r="C537" s="43">
        <f>ROUND(PAGE5!$E$47,5)</f>
        <v>0</v>
      </c>
    </row>
    <row r="538" spans="1:3">
      <c r="A538" s="146" t="e">
        <f>$C$1&amp;".E30A.REM.VAR.PVFIN.DISB._INT.10.1_11_PERCT."</f>
        <v>#N/A</v>
      </c>
      <c r="B538" s="43">
        <f>ROUND(PAGE5!$G$47,5)</f>
        <v>0</v>
      </c>
      <c r="C538" s="43">
        <f>ROUND(PAGE5!$I$47,5)</f>
        <v>0</v>
      </c>
    </row>
    <row r="539" spans="1:3">
      <c r="A539" s="146" t="e">
        <f>$C$1&amp;".E30A.REM.ADJ.PVFIN.DISB._INT.10.1_11_PERCT."</f>
        <v>#N/A</v>
      </c>
      <c r="B539" s="43">
        <f>ROUND(PAGE5!$K$47,5)</f>
        <v>0</v>
      </c>
      <c r="C539" s="43">
        <f>ROUND(PAGE5!$M$47,5)</f>
        <v>0</v>
      </c>
    </row>
    <row r="540" spans="1:3">
      <c r="A540" s="146" t="e">
        <f>$C$1&amp;".E30A.REM.PVFIN.DISB._INT.10.1_11_PERCT.TTL."</f>
        <v>#N/A</v>
      </c>
      <c r="B540" s="43">
        <f>ROUND(PAGE5!$P$47,5)</f>
        <v>0</v>
      </c>
      <c r="C540" s="43">
        <f>ROUND(PAGE5!$R$47,5)</f>
        <v>0</v>
      </c>
    </row>
    <row r="541" spans="1:3">
      <c r="A541" s="146" t="e">
        <f>$C$1&amp;".E30A.REM.FR.PVFIN.DISB._INT.11.1_12_PERCT."</f>
        <v>#N/A</v>
      </c>
      <c r="B541" s="43">
        <f>ROUND(PAGE5!$C$48,5)</f>
        <v>0</v>
      </c>
      <c r="C541" s="43">
        <f>ROUND(PAGE5!$E$48,5)</f>
        <v>0</v>
      </c>
    </row>
    <row r="542" spans="1:3">
      <c r="A542" s="146" t="e">
        <f>$C$1&amp;".E30A.REM.VAR.PVFIN.DISB._INT.11.1_12_PERCT."</f>
        <v>#N/A</v>
      </c>
      <c r="B542" s="43">
        <f>ROUND(PAGE5!$G$48,5)</f>
        <v>0</v>
      </c>
      <c r="C542" s="43">
        <f>ROUND(PAGE5!$I$48,5)</f>
        <v>0</v>
      </c>
    </row>
    <row r="543" spans="1:3">
      <c r="A543" s="146" t="e">
        <f>$C$1&amp;".E30A.REM.ADJ.PVFIN.DISB._INT.11.1_12_PERCT."</f>
        <v>#N/A</v>
      </c>
      <c r="B543" s="43">
        <f>ROUND(PAGE5!$K$48,5)</f>
        <v>0</v>
      </c>
      <c r="C543" s="43">
        <f>ROUND(PAGE5!$M$48,5)</f>
        <v>0</v>
      </c>
    </row>
    <row r="544" spans="1:3">
      <c r="A544" s="146" t="e">
        <f>$C$1&amp;".E30A.REM.PVFIN.DISB._INT.11.1_12_PERCT.TTL."</f>
        <v>#N/A</v>
      </c>
      <c r="B544" s="43">
        <f>ROUND(PAGE5!$P$48,5)</f>
        <v>0</v>
      </c>
      <c r="C544" s="43">
        <f>ROUND(PAGE5!$R$48,5)</f>
        <v>0</v>
      </c>
    </row>
    <row r="545" spans="1:3">
      <c r="A545" s="146" t="e">
        <f>$C$1&amp;".E30A.REM.FR.PVFIN.DISB._INT.12.1_13_PERCT."</f>
        <v>#N/A</v>
      </c>
      <c r="B545" s="43">
        <f>ROUND(PAGE5!$C$49,5)</f>
        <v>0</v>
      </c>
      <c r="C545" s="43">
        <f>ROUND(PAGE5!$E$49,5)</f>
        <v>0</v>
      </c>
    </row>
    <row r="546" spans="1:3">
      <c r="A546" s="146" t="e">
        <f>$C$1&amp;".E30A.REM.VAR.PVFIN.DISB._INT.12.1_13_PERCT."</f>
        <v>#N/A</v>
      </c>
      <c r="B546" s="43">
        <f>ROUND(PAGE5!$G$49,5)</f>
        <v>0</v>
      </c>
      <c r="C546" s="43">
        <f>ROUND(PAGE5!$I$49,5)</f>
        <v>0</v>
      </c>
    </row>
    <row r="547" spans="1:3">
      <c r="A547" s="146" t="e">
        <f>$C$1&amp;".E30A.REM.ADJ.PVFIN.DISB._INT.12.1_13_PERCT."</f>
        <v>#N/A</v>
      </c>
      <c r="B547" s="43">
        <f>ROUND(PAGE5!$K$49,5)</f>
        <v>0</v>
      </c>
      <c r="C547" s="43">
        <f>ROUND(PAGE5!$M$49,5)</f>
        <v>0</v>
      </c>
    </row>
    <row r="548" spans="1:3">
      <c r="A548" s="146" t="e">
        <f>$C$1&amp;".E30A.REM.PVFIN.DISB._INT.12.1_13_PERCT.TTL."</f>
        <v>#N/A</v>
      </c>
      <c r="B548" s="43">
        <f>ROUND(PAGE5!$P$49,5)</f>
        <v>0</v>
      </c>
      <c r="C548" s="43">
        <f>ROUND(PAGE5!$R$49,5)</f>
        <v>0</v>
      </c>
    </row>
    <row r="549" spans="1:3">
      <c r="A549" s="146" t="e">
        <f>$C$1&amp;".E30A.REM.FR.PVFIN.DISB._INT.13.1_14_PERCT."</f>
        <v>#N/A</v>
      </c>
      <c r="B549" s="43">
        <f>ROUND(PAGE5!$C$50,5)</f>
        <v>0</v>
      </c>
      <c r="C549" s="43">
        <f>ROUND(PAGE5!$E$50,5)</f>
        <v>0</v>
      </c>
    </row>
    <row r="550" spans="1:3">
      <c r="A550" s="146" t="e">
        <f>$C$1&amp;".E30A.REM.VAR.PVFIN.DISB._INT.13.1_14_PERCT."</f>
        <v>#N/A</v>
      </c>
      <c r="B550" s="43">
        <f>ROUND(PAGE5!$G$50,5)</f>
        <v>0</v>
      </c>
      <c r="C550" s="43">
        <f>ROUND(PAGE5!$I$50,5)</f>
        <v>0</v>
      </c>
    </row>
    <row r="551" spans="1:3">
      <c r="A551" s="146" t="e">
        <f>$C$1&amp;".E30A.REM.ADJ.PVFIN.DISB._INT.13.1_14_PERCT."</f>
        <v>#N/A</v>
      </c>
      <c r="B551" s="43">
        <f>ROUND(PAGE5!$K$50,5)</f>
        <v>0</v>
      </c>
      <c r="C551" s="43">
        <f>ROUND(PAGE5!$M$50,5)</f>
        <v>0</v>
      </c>
    </row>
    <row r="552" spans="1:3">
      <c r="A552" s="146" t="e">
        <f>$C$1&amp;".E30A.REM.PVFIN.DISB._INT.13.1_14_PERCT.TTL."</f>
        <v>#N/A</v>
      </c>
      <c r="B552" s="43">
        <f>ROUND(PAGE5!$P$50,5)</f>
        <v>0</v>
      </c>
      <c r="C552" s="43">
        <f>ROUND(PAGE5!$R$50,5)</f>
        <v>0</v>
      </c>
    </row>
    <row r="553" spans="1:3">
      <c r="A553" s="146" t="e">
        <f>$C$1&amp;".E30A.REM.FR.PVFIN.DISB._INT.14.1_15_PERCT."</f>
        <v>#N/A</v>
      </c>
      <c r="B553" s="43">
        <f>ROUND(PAGE5!$C$51,5)</f>
        <v>0</v>
      </c>
      <c r="C553" s="43">
        <f>ROUND(PAGE5!$E$51,5)</f>
        <v>0</v>
      </c>
    </row>
    <row r="554" spans="1:3">
      <c r="A554" s="146" t="e">
        <f>$C$1&amp;".E30A.REM.VAR.PVFIN.DISB._INT.14.1_15_PERCT."</f>
        <v>#N/A</v>
      </c>
      <c r="B554" s="43">
        <f>ROUND(PAGE5!$G$51,5)</f>
        <v>0</v>
      </c>
      <c r="C554" s="43">
        <f>ROUND(PAGE5!$I$51,5)</f>
        <v>0</v>
      </c>
    </row>
    <row r="555" spans="1:3">
      <c r="A555" s="146" t="e">
        <f>$C$1&amp;".E30A.REM.ADJ.PVFIN.DISB._INT.14.1_15_PERCT."</f>
        <v>#N/A</v>
      </c>
      <c r="B555" s="43">
        <f>ROUND(PAGE5!$K$51,5)</f>
        <v>0</v>
      </c>
      <c r="C555" s="43">
        <f>ROUND(PAGE5!$M$51,5)</f>
        <v>0</v>
      </c>
    </row>
    <row r="556" spans="1:3">
      <c r="A556" s="146" t="e">
        <f>$C$1&amp;".E30A.REM.PVFIN.DISB._INT.14.1_15_PERCT.TTL."</f>
        <v>#N/A</v>
      </c>
      <c r="B556" s="43">
        <f>ROUND(PAGE5!$P$51,5)</f>
        <v>0</v>
      </c>
      <c r="C556" s="43">
        <f>ROUND(PAGE5!$R$51,5)</f>
        <v>0</v>
      </c>
    </row>
    <row r="557" spans="1:3">
      <c r="A557" s="146" t="e">
        <f>$C$1&amp;".E30A.REM.FR.PVFIN.DISB._INT.OVR_15.1_PERCT."</f>
        <v>#N/A</v>
      </c>
      <c r="B557" s="43">
        <f>ROUND(PAGE5!$C$52,5)</f>
        <v>0</v>
      </c>
      <c r="C557" s="43">
        <f>ROUND(PAGE5!$E$52,5)</f>
        <v>0</v>
      </c>
    </row>
    <row r="558" spans="1:3">
      <c r="A558" s="146" t="e">
        <f>$C$1&amp;".E30A.REM.VAR.PVFIN.DISB._INT.OVR_15.1_PERCT."</f>
        <v>#N/A</v>
      </c>
      <c r="B558" s="43">
        <f>ROUND(PAGE5!$G$52,5)</f>
        <v>0</v>
      </c>
      <c r="C558" s="43">
        <f>ROUND(PAGE5!$I$52,5)</f>
        <v>0</v>
      </c>
    </row>
    <row r="559" spans="1:3">
      <c r="A559" s="146" t="e">
        <f>$C$1&amp;".E30A.REM.ADJ.PVFIN.DISB._INT.OVR_15.1_PERCT."</f>
        <v>#N/A</v>
      </c>
      <c r="B559" s="43">
        <f>ROUND(PAGE5!$K$52,5)</f>
        <v>0</v>
      </c>
      <c r="C559" s="43">
        <f>ROUND(PAGE5!$M$52,5)</f>
        <v>0</v>
      </c>
    </row>
    <row r="560" spans="1:3">
      <c r="A560" s="146" t="e">
        <f>$C$1&amp;".E30A.REM.PVFIN.DISB._INT.OVR_15.1_PERCT.TTL."</f>
        <v>#N/A</v>
      </c>
      <c r="B560" s="43">
        <f>ROUND(PAGE5!$P$52,5)</f>
        <v>0</v>
      </c>
      <c r="C560" s="43">
        <f>ROUND(PAGE5!$R$52,5)</f>
        <v>0</v>
      </c>
    </row>
    <row r="561" spans="1:3">
      <c r="A561" s="146" t="e">
        <f>$C$1&amp;".E30A.REM.PVFIN.DISB.TTL."</f>
        <v>#N/A</v>
      </c>
      <c r="B561" s="43">
        <f>ROUND(PAGE5!P54,5)</f>
        <v>0</v>
      </c>
      <c r="C561" s="43">
        <f>ROUND(PAGE5!R54,5)</f>
        <v>0</v>
      </c>
    </row>
    <row r="562" spans="1:3">
      <c r="A562" s="146" t="e">
        <f>$C$1&amp;".E30A.REM.FR.IBUS.DISB._INT.0_3_PERCT."</f>
        <v>#N/A</v>
      </c>
      <c r="B562" s="43">
        <f>ROUND(PAGE5!$C$58,5)</f>
        <v>0</v>
      </c>
      <c r="C562" s="43">
        <f>ROUND(PAGE5!$E$58,5)</f>
        <v>0</v>
      </c>
    </row>
    <row r="563" spans="1:3">
      <c r="A563" s="146" t="e">
        <f>$C$1&amp;".E30A.REM.VAR.IBUS.DISB._INT.0_3_PERCT."</f>
        <v>#N/A</v>
      </c>
      <c r="B563" s="43">
        <f>ROUND(PAGE5!$G$58,5)</f>
        <v>0</v>
      </c>
      <c r="C563" s="43">
        <f>ROUND(PAGE5!$I$58,5)</f>
        <v>0</v>
      </c>
    </row>
    <row r="564" spans="1:3">
      <c r="A564" s="146" t="e">
        <f>$C$1&amp;".E30A.REM.ADJ.IBUS.DISB._INT.0_3_PERCT."</f>
        <v>#N/A</v>
      </c>
      <c r="B564" s="43">
        <f>ROUND(PAGE5!$K$58,5)</f>
        <v>0</v>
      </c>
      <c r="C564" s="43">
        <f>ROUND(PAGE5!$M$58,5)</f>
        <v>0</v>
      </c>
    </row>
    <row r="565" spans="1:3">
      <c r="A565" s="146" t="e">
        <f>$C$1&amp;".E30A.REM.IBUS.DISB._INT.0_3_PERCT.TTL."</f>
        <v>#N/A</v>
      </c>
      <c r="B565" s="43">
        <f>ROUND(PAGE5!$P$58,5)</f>
        <v>0</v>
      </c>
      <c r="C565" s="43">
        <f>ROUND(PAGE5!$R$58,5)</f>
        <v>0</v>
      </c>
    </row>
    <row r="566" spans="1:3">
      <c r="A566" s="146" t="e">
        <f>$C$1&amp;".E30A.REM.FR.IBUS.DISB._INT.3.1_4_PERCT."</f>
        <v>#N/A</v>
      </c>
      <c r="B566" s="43">
        <f>ROUND(PAGE5!$C$59,5)</f>
        <v>0</v>
      </c>
      <c r="C566" s="43">
        <f>ROUND(PAGE5!$E$59,5)</f>
        <v>0</v>
      </c>
    </row>
    <row r="567" spans="1:3">
      <c r="A567" s="146" t="e">
        <f>$C$1&amp;".E30A.REM.VAR.IBUS.DISB._INT.3.1_4_PERCT."</f>
        <v>#N/A</v>
      </c>
      <c r="B567" s="43">
        <f>ROUND(PAGE5!$G$59,5)</f>
        <v>0</v>
      </c>
      <c r="C567" s="43">
        <f>ROUND(PAGE5!$I$59,5)</f>
        <v>0</v>
      </c>
    </row>
    <row r="568" spans="1:3">
      <c r="A568" s="146" t="e">
        <f>$C$1&amp;".E30A.REM.ADJ.IBUS.DISB._INT.3.1_4_PERCT."</f>
        <v>#N/A</v>
      </c>
      <c r="B568" s="43">
        <f>ROUND(PAGE5!$K$59,5)</f>
        <v>0</v>
      </c>
      <c r="C568" s="43">
        <f>ROUND(PAGE5!$M$59,5)</f>
        <v>0</v>
      </c>
    </row>
    <row r="569" spans="1:3">
      <c r="A569" s="146" t="e">
        <f>$C$1&amp;".E30A.REM.IBUS.DISB._INT.3.1_4_PERCT.TTL."</f>
        <v>#N/A</v>
      </c>
      <c r="B569" s="43">
        <f>ROUND(PAGE5!$P$59,5)</f>
        <v>0</v>
      </c>
      <c r="C569" s="43">
        <f>ROUND(PAGE5!$R$59,5)</f>
        <v>0</v>
      </c>
    </row>
    <row r="570" spans="1:3">
      <c r="A570" s="146" t="e">
        <f>$C$1&amp;".E30A.REM.FR.IBUS.DISB._INT.4.1_5_PERCT."</f>
        <v>#N/A</v>
      </c>
      <c r="B570" s="43">
        <f>ROUND(PAGE5!$C$60,5)</f>
        <v>0</v>
      </c>
      <c r="C570" s="43">
        <f>ROUND(PAGE5!$E$60,5)</f>
        <v>0</v>
      </c>
    </row>
    <row r="571" spans="1:3">
      <c r="A571" s="146" t="e">
        <f>$C$1&amp;".E30A.REM.VAR.IBUS.DISB._INT.4.1_5_PERCT."</f>
        <v>#N/A</v>
      </c>
      <c r="B571" s="43">
        <f>ROUND(PAGE5!$G$60,5)</f>
        <v>0</v>
      </c>
      <c r="C571" s="43">
        <f>ROUND(PAGE5!$I$60,5)</f>
        <v>0</v>
      </c>
    </row>
    <row r="572" spans="1:3">
      <c r="A572" s="146" t="e">
        <f>$C$1&amp;".E30A.REM.ADJ.IBUS.DISB._INT.4.1_5_PERCT."</f>
        <v>#N/A</v>
      </c>
      <c r="B572" s="43">
        <f>ROUND(PAGE5!$K$60,5)</f>
        <v>0</v>
      </c>
      <c r="C572" s="43">
        <f>ROUND(PAGE5!$M$60,5)</f>
        <v>0</v>
      </c>
    </row>
    <row r="573" spans="1:3">
      <c r="A573" s="146" t="e">
        <f>$C$1&amp;".E30A.REM.IBUS.DISB._INT.4.1_5_PERCT.TTL."</f>
        <v>#N/A</v>
      </c>
      <c r="B573" s="43">
        <f>ROUND(PAGE5!$P$60,5)</f>
        <v>0</v>
      </c>
      <c r="C573" s="43">
        <f>ROUND(PAGE5!$R$60,5)</f>
        <v>0</v>
      </c>
    </row>
    <row r="574" spans="1:3">
      <c r="A574" s="146" t="e">
        <f>$C$1&amp;".E30A.REM.FR.IBUS.DISB._INT.5.1_6_PERCT."</f>
        <v>#N/A</v>
      </c>
      <c r="B574" s="43">
        <f>ROUND(PAGE5!$C$61,5)</f>
        <v>0</v>
      </c>
      <c r="C574" s="43">
        <f>ROUND(PAGE5!$E$61,5)</f>
        <v>0</v>
      </c>
    </row>
    <row r="575" spans="1:3">
      <c r="A575" s="146" t="e">
        <f>$C$1&amp;".E30A.REM.VAR.IBUS.DISB._INT.5.1_6_PERCT."</f>
        <v>#N/A</v>
      </c>
      <c r="B575" s="43">
        <f>ROUND(PAGE5!$G$61,5)</f>
        <v>0</v>
      </c>
      <c r="C575" s="43">
        <f>ROUND(PAGE5!$I$61,5)</f>
        <v>0</v>
      </c>
    </row>
    <row r="576" spans="1:3">
      <c r="A576" s="146" t="e">
        <f>$C$1&amp;".E30A.REM.ADJ.IBUS.DISB._INT.5.1_6_PERCT."</f>
        <v>#N/A</v>
      </c>
      <c r="B576" s="43">
        <f>ROUND(PAGE5!$K$61,5)</f>
        <v>0</v>
      </c>
      <c r="C576" s="43">
        <f>ROUND(PAGE5!$M$61,5)</f>
        <v>0</v>
      </c>
    </row>
    <row r="577" spans="1:3">
      <c r="A577" s="146" t="e">
        <f>$C$1&amp;".E30A.REM.IBUS.DISB._INT.5.1_6_PERCT.TTL."</f>
        <v>#N/A</v>
      </c>
      <c r="B577" s="43">
        <f>ROUND(PAGE5!$P$61,5)</f>
        <v>0</v>
      </c>
      <c r="C577" s="43">
        <f>ROUND(PAGE5!$R$61,5)</f>
        <v>0</v>
      </c>
    </row>
    <row r="578" spans="1:3">
      <c r="A578" s="146" t="e">
        <f>$C$1&amp;".E30A.REM.FR.IBUS.DISB._INT.6.1_7_PERCT."</f>
        <v>#N/A</v>
      </c>
      <c r="B578" s="43">
        <f>ROUND(PAGE5!$C$62,5)</f>
        <v>0</v>
      </c>
      <c r="C578" s="43">
        <f>ROUND(PAGE5!$E$62,5)</f>
        <v>0</v>
      </c>
    </row>
    <row r="579" spans="1:3">
      <c r="A579" s="146" t="e">
        <f>$C$1&amp;".E30A.REM.VAR.IBUS.DISB._INT.6.1_7_PERCT."</f>
        <v>#N/A</v>
      </c>
      <c r="B579" s="43">
        <f>ROUND(PAGE5!$G$62,5)</f>
        <v>0</v>
      </c>
      <c r="C579" s="43">
        <f>ROUND(PAGE5!$I$62,5)</f>
        <v>0</v>
      </c>
    </row>
    <row r="580" spans="1:3">
      <c r="A580" s="146" t="e">
        <f>$C$1&amp;".E30A.REM.ADJ.IBUS.DISB._INT.6.1_7_PERCT."</f>
        <v>#N/A</v>
      </c>
      <c r="B580" s="43">
        <f>ROUND(PAGE5!$K$62,5)</f>
        <v>0</v>
      </c>
      <c r="C580" s="43">
        <f>ROUND(PAGE5!$M$62,5)</f>
        <v>0</v>
      </c>
    </row>
    <row r="581" spans="1:3">
      <c r="A581" s="146" t="e">
        <f>$C$1&amp;".E30A.REM.IBUS.DISB._INT.6.1_7_PERCT.TTL."</f>
        <v>#N/A</v>
      </c>
      <c r="B581" s="43">
        <f>ROUND(PAGE5!$P$62,5)</f>
        <v>0</v>
      </c>
      <c r="C581" s="43">
        <f>ROUND(PAGE5!$R$62,5)</f>
        <v>0</v>
      </c>
    </row>
    <row r="582" spans="1:3">
      <c r="A582" s="146" t="e">
        <f>$C$1&amp;".E30A.REM.FR.IBUS.DISB._INT.7.1_8_PERCT."</f>
        <v>#N/A</v>
      </c>
      <c r="B582" s="43">
        <f>ROUND(PAGE5!$C$63,5)</f>
        <v>0</v>
      </c>
      <c r="C582" s="43">
        <f>ROUND(PAGE5!$E$63,5)</f>
        <v>0</v>
      </c>
    </row>
    <row r="583" spans="1:3">
      <c r="A583" s="146" t="e">
        <f>$C$1&amp;".E30A.REM.VAR.IBUS.DISB._INT.7.1_8_PERCT."</f>
        <v>#N/A</v>
      </c>
      <c r="B583" s="43">
        <f>ROUND(PAGE5!$G$63,5)</f>
        <v>0</v>
      </c>
      <c r="C583" s="43">
        <f>ROUND(PAGE5!$I$63,5)</f>
        <v>0</v>
      </c>
    </row>
    <row r="584" spans="1:3">
      <c r="A584" s="146" t="e">
        <f>$C$1&amp;".E30A.REM.ADJ.IBUS.DISB._INT.7.1_8_PERCT."</f>
        <v>#N/A</v>
      </c>
      <c r="B584" s="43">
        <f>ROUND(PAGE5!$K$63,5)</f>
        <v>0</v>
      </c>
      <c r="C584" s="43">
        <f>ROUND(PAGE5!$M$63,5)</f>
        <v>0</v>
      </c>
    </row>
    <row r="585" spans="1:3">
      <c r="A585" s="146" t="e">
        <f>$C$1&amp;".E30A.REM.IBUS.DISB._INT.7.1_8_PERCT.TTL."</f>
        <v>#N/A</v>
      </c>
      <c r="B585" s="43">
        <f>ROUND(PAGE5!$P$63,5)</f>
        <v>0</v>
      </c>
      <c r="C585" s="43">
        <f>ROUND(PAGE5!$R$63,5)</f>
        <v>0</v>
      </c>
    </row>
    <row r="586" spans="1:3">
      <c r="A586" s="146" t="e">
        <f>$C$1&amp;".E30A.REM.FR.IBUS.DISB._INT.8.1_9_PERCT."</f>
        <v>#N/A</v>
      </c>
      <c r="B586" s="43">
        <f>ROUND(PAGE5!$C$64,5)</f>
        <v>0</v>
      </c>
      <c r="C586" s="43">
        <f>ROUND(PAGE5!$E$64,5)</f>
        <v>0</v>
      </c>
    </row>
    <row r="587" spans="1:3">
      <c r="A587" s="146" t="e">
        <f>$C$1&amp;".E30A.REM.VAR.IBUS.DISB._INT.8.1_9_PERCT."</f>
        <v>#N/A</v>
      </c>
      <c r="B587" s="43">
        <f>ROUND(PAGE5!$G$64,5)</f>
        <v>0</v>
      </c>
      <c r="C587" s="43">
        <f>ROUND(PAGE5!$I$64,5)</f>
        <v>0</v>
      </c>
    </row>
    <row r="588" spans="1:3">
      <c r="A588" s="146" t="e">
        <f>$C$1&amp;".E30A.REM.ADJ.IBUS.DISB._INT.8.1_9_PERCT."</f>
        <v>#N/A</v>
      </c>
      <c r="B588" s="43">
        <f>ROUND(PAGE5!$K$64,5)</f>
        <v>0</v>
      </c>
      <c r="C588" s="43">
        <f>ROUND(PAGE5!$M$64,5)</f>
        <v>0</v>
      </c>
    </row>
    <row r="589" spans="1:3">
      <c r="A589" s="146" t="e">
        <f>$C$1&amp;".E30A.REM.IBUS.DISB._INT.8.1_9_PERCT.TTL."</f>
        <v>#N/A</v>
      </c>
      <c r="B589" s="43">
        <f>ROUND(PAGE5!$P$64,5)</f>
        <v>0</v>
      </c>
      <c r="C589" s="43">
        <f>ROUND(PAGE5!$R$64,5)</f>
        <v>0</v>
      </c>
    </row>
    <row r="590" spans="1:3">
      <c r="A590" s="146" t="e">
        <f>$C$1&amp;".E30A.REM.FR.IBUS.DISB._INT.9.1_10_PERCT."</f>
        <v>#N/A</v>
      </c>
      <c r="B590" s="43">
        <f>ROUND(PAGE5!$C$65,5)</f>
        <v>0</v>
      </c>
      <c r="C590" s="43">
        <f>ROUND(PAGE5!$E$65,5)</f>
        <v>0</v>
      </c>
    </row>
    <row r="591" spans="1:3">
      <c r="A591" s="146" t="e">
        <f>$C$1&amp;".E30A.REM.VAR.IBUS.DISB._INT.9.1_10_PERCT."</f>
        <v>#N/A</v>
      </c>
      <c r="B591" s="43">
        <f>ROUND(PAGE5!$G$65,5)</f>
        <v>0</v>
      </c>
      <c r="C591" s="43">
        <f>ROUND(PAGE5!$I$65,5)</f>
        <v>0</v>
      </c>
    </row>
    <row r="592" spans="1:3">
      <c r="A592" s="146" t="e">
        <f>$C$1&amp;".E30A.REM.ADJ.IBUS.DISB._INT.9.1_10_PERCT."</f>
        <v>#N/A</v>
      </c>
      <c r="B592" s="43">
        <f>ROUND(PAGE5!$K$65,5)</f>
        <v>0</v>
      </c>
      <c r="C592" s="43">
        <f>ROUND(PAGE5!$M$65,5)</f>
        <v>0</v>
      </c>
    </row>
    <row r="593" spans="1:3">
      <c r="A593" s="146" t="e">
        <f>$C$1&amp;".E30A.REM.IBUS.DISB._INT.9.1_10_PERCT.TTL."</f>
        <v>#N/A</v>
      </c>
      <c r="B593" s="43">
        <f>ROUND(PAGE5!$P$65,5)</f>
        <v>0</v>
      </c>
      <c r="C593" s="43">
        <f>ROUND(PAGE5!$R$65,5)</f>
        <v>0</v>
      </c>
    </row>
    <row r="594" spans="1:3">
      <c r="A594" s="146" t="e">
        <f>$C$1&amp;".E30A.REM.FR.IBUS.DISB._INT.10.1_11_PERCT."</f>
        <v>#N/A</v>
      </c>
      <c r="B594" s="43">
        <f>ROUND(PAGE5!$C$66,5)</f>
        <v>0</v>
      </c>
      <c r="C594" s="43">
        <f>ROUND(PAGE5!$E$66,5)</f>
        <v>0</v>
      </c>
    </row>
    <row r="595" spans="1:3">
      <c r="A595" s="146" t="e">
        <f>$C$1&amp;".E30A.REM.VAR.IBUS.DISB._INT.10.1_11_PERCT."</f>
        <v>#N/A</v>
      </c>
      <c r="B595" s="43">
        <f>ROUND(PAGE5!$G$66,5)</f>
        <v>0</v>
      </c>
      <c r="C595" s="43">
        <f>ROUND(PAGE5!$I$66,5)</f>
        <v>0</v>
      </c>
    </row>
    <row r="596" spans="1:3">
      <c r="A596" s="146" t="e">
        <f>$C$1&amp;".E30A.REM.ADJ.IBUS.DISB._INT.10.1_11_PERCT."</f>
        <v>#N/A</v>
      </c>
      <c r="B596" s="43">
        <f>ROUND(PAGE5!$K$66,5)</f>
        <v>0</v>
      </c>
      <c r="C596" s="43">
        <f>ROUND(PAGE5!$M$66,5)</f>
        <v>0</v>
      </c>
    </row>
    <row r="597" spans="1:3">
      <c r="A597" s="146" t="e">
        <f>$C$1&amp;".E30A.REM.IBUS.DISB._INT.10.1_11_PERCT.TTL."</f>
        <v>#N/A</v>
      </c>
      <c r="B597" s="43">
        <f>ROUND(PAGE5!$P$66,5)</f>
        <v>0</v>
      </c>
      <c r="C597" s="43">
        <f>ROUND(PAGE5!$R$66,5)</f>
        <v>0</v>
      </c>
    </row>
    <row r="598" spans="1:3">
      <c r="A598" s="146" t="e">
        <f>$C$1&amp;".E30A.REM.FR.IBUS.DISB._INT.11.1_12_PERCT."</f>
        <v>#N/A</v>
      </c>
      <c r="B598" s="43">
        <f>ROUND(PAGE5!$C$67,5)</f>
        <v>0</v>
      </c>
      <c r="C598" s="43">
        <f>ROUND(PAGE5!$E$67,5)</f>
        <v>0</v>
      </c>
    </row>
    <row r="599" spans="1:3">
      <c r="A599" s="146" t="e">
        <f>$C$1&amp;".E30A.REM.VAR.IBUS.DISB._INT.11.1_12_PERCT."</f>
        <v>#N/A</v>
      </c>
      <c r="B599" s="43">
        <f>ROUND(PAGE5!$G$67,5)</f>
        <v>0</v>
      </c>
      <c r="C599" s="43">
        <f>ROUND(PAGE5!$I$67,5)</f>
        <v>0</v>
      </c>
    </row>
    <row r="600" spans="1:3">
      <c r="A600" s="146" t="e">
        <f>$C$1&amp;".E30A.REM.ADJ.IBUS.DISB._INT.11.1_12_PERCT."</f>
        <v>#N/A</v>
      </c>
      <c r="B600" s="43">
        <f>ROUND(PAGE5!$K$67,5)</f>
        <v>0</v>
      </c>
      <c r="C600" s="43">
        <f>ROUND(PAGE5!$M$67,5)</f>
        <v>0</v>
      </c>
    </row>
    <row r="601" spans="1:3">
      <c r="A601" s="146" t="e">
        <f>$C$1&amp;".E30A.REM.IBUS.DISB._INT.11.1_12_PERCT.TTL."</f>
        <v>#N/A</v>
      </c>
      <c r="B601" s="43">
        <f>ROUND(PAGE5!$P$67,5)</f>
        <v>0</v>
      </c>
      <c r="C601" s="43">
        <f>ROUND(PAGE5!$R$67,5)</f>
        <v>0</v>
      </c>
    </row>
    <row r="602" spans="1:3">
      <c r="A602" s="146" t="e">
        <f>$C$1&amp;".E30A.REM.FR.IBUS.DISB._INT.12.1_13_PERCT."</f>
        <v>#N/A</v>
      </c>
      <c r="B602" s="43">
        <f>ROUND(PAGE5!$C$68,5)</f>
        <v>0</v>
      </c>
      <c r="C602" s="43">
        <f>ROUND(PAGE5!$E$68,5)</f>
        <v>0</v>
      </c>
    </row>
    <row r="603" spans="1:3">
      <c r="A603" s="146" t="e">
        <f>$C$1&amp;".E30A.REM.VAR.IBUS.DISB._INT.12.1_13_PERCT."</f>
        <v>#N/A</v>
      </c>
      <c r="B603" s="43">
        <f>ROUND(PAGE5!$G$68,5)</f>
        <v>0</v>
      </c>
      <c r="C603" s="43">
        <f>ROUND(PAGE5!$I$68,5)</f>
        <v>0</v>
      </c>
    </row>
    <row r="604" spans="1:3">
      <c r="A604" s="146" t="e">
        <f>$C$1&amp;".E30A.REM.ADJ.IBUS.DISB._INT.12.1_13_PERCT."</f>
        <v>#N/A</v>
      </c>
      <c r="B604" s="43">
        <f>ROUND(PAGE5!$K$68,5)</f>
        <v>0</v>
      </c>
      <c r="C604" s="43">
        <f>ROUND(PAGE5!$M$68,5)</f>
        <v>0</v>
      </c>
    </row>
    <row r="605" spans="1:3">
      <c r="A605" s="146" t="e">
        <f>$C$1&amp;".E30A.REM.IBUS.DISB._INT.12.1_13_PERCT.TTL."</f>
        <v>#N/A</v>
      </c>
      <c r="B605" s="43">
        <f>ROUND(PAGE5!$P$68,5)</f>
        <v>0</v>
      </c>
      <c r="C605" s="43">
        <f>ROUND(PAGE5!$R$68,5)</f>
        <v>0</v>
      </c>
    </row>
    <row r="606" spans="1:3">
      <c r="A606" s="146" t="e">
        <f>$C$1&amp;".E30A.REM.FR.IBUS.DISB._INT.13.1_14_PERCT."</f>
        <v>#N/A</v>
      </c>
      <c r="B606" s="43">
        <f>ROUND(PAGE5!$C$69,5)</f>
        <v>0</v>
      </c>
      <c r="C606" s="43">
        <f>ROUND(PAGE5!$E$69,5)</f>
        <v>0</v>
      </c>
    </row>
    <row r="607" spans="1:3">
      <c r="A607" s="146" t="e">
        <f>$C$1&amp;".E30A.REM.VAR.IBUS.DISB._INT.13.1_14_PERCT."</f>
        <v>#N/A</v>
      </c>
      <c r="B607" s="43">
        <f>ROUND(PAGE5!$G$69,5)</f>
        <v>0</v>
      </c>
      <c r="C607" s="43">
        <f>ROUND(PAGE5!$I$69,5)</f>
        <v>0</v>
      </c>
    </row>
    <row r="608" spans="1:3">
      <c r="A608" s="146" t="e">
        <f>$C$1&amp;".E30A.REM.ADJ.IBUS.DISB._INT.13.1_14_PERCT."</f>
        <v>#N/A</v>
      </c>
      <c r="B608" s="43">
        <f>ROUND(PAGE5!$K$69,5)</f>
        <v>0</v>
      </c>
      <c r="C608" s="43">
        <f>ROUND(PAGE5!$M$69,5)</f>
        <v>0</v>
      </c>
    </row>
    <row r="609" spans="1:3">
      <c r="A609" s="146" t="e">
        <f>$C$1&amp;".E30A.REM.IBUS.DISB._INT.13.1_14_PERCT.TTL."</f>
        <v>#N/A</v>
      </c>
      <c r="B609" s="43">
        <f>ROUND(PAGE5!$P$69,5)</f>
        <v>0</v>
      </c>
      <c r="C609" s="43">
        <f>ROUND(PAGE5!$R$69,5)</f>
        <v>0</v>
      </c>
    </row>
    <row r="610" spans="1:3">
      <c r="A610" s="146" t="e">
        <f>$C$1&amp;".E30A.REM.FR.IBUS.DISB._INT.14.1_15_PERCT."</f>
        <v>#N/A</v>
      </c>
      <c r="B610" s="43">
        <f>ROUND(PAGE5!$C$70,5)</f>
        <v>0</v>
      </c>
      <c r="C610" s="43">
        <f>ROUND(PAGE5!$E$70,5)</f>
        <v>0</v>
      </c>
    </row>
    <row r="611" spans="1:3">
      <c r="A611" s="146" t="e">
        <f>$C$1&amp;".E30A.REM.VAR.IBUS.DISB._INT.14.1_15_PERCT."</f>
        <v>#N/A</v>
      </c>
      <c r="B611" s="43">
        <f>ROUND(PAGE5!$G$70,5)</f>
        <v>0</v>
      </c>
      <c r="C611" s="43">
        <f>ROUND(PAGE5!$I$70,5)</f>
        <v>0</v>
      </c>
    </row>
    <row r="612" spans="1:3">
      <c r="A612" s="146" t="e">
        <f>$C$1&amp;".E30A.REM.ADJ.IBUS.DISB._INT.14.1_15_PERCT."</f>
        <v>#N/A</v>
      </c>
      <c r="B612" s="43">
        <f>ROUND(PAGE5!$K$70,5)</f>
        <v>0</v>
      </c>
      <c r="C612" s="43">
        <f>ROUND(PAGE5!$M$70,5)</f>
        <v>0</v>
      </c>
    </row>
    <row r="613" spans="1:3">
      <c r="A613" s="146" t="e">
        <f>$C$1&amp;".E30A.REM.IBUS.DISB._INT.14.1_15_PERCT.TTL."</f>
        <v>#N/A</v>
      </c>
      <c r="B613" s="43">
        <f>ROUND(PAGE5!$P$70,5)</f>
        <v>0</v>
      </c>
      <c r="C613" s="43">
        <f>ROUND(PAGE5!$R$70,5)</f>
        <v>0</v>
      </c>
    </row>
    <row r="614" spans="1:3">
      <c r="A614" s="146" t="e">
        <f>$C$1&amp;".E30A.REM.FR.IBUS.DISB._INT.OVR_15.1_PERCT."</f>
        <v>#N/A</v>
      </c>
      <c r="B614" s="43">
        <f>ROUND(PAGE5!$C$71,5)</f>
        <v>0</v>
      </c>
      <c r="C614" s="43">
        <f>ROUND(PAGE5!$E$71,5)</f>
        <v>0</v>
      </c>
    </row>
    <row r="615" spans="1:3">
      <c r="A615" s="146" t="e">
        <f>$C$1&amp;".E30A.REM.VAR.IBUS.DISB._INT.OVR_15.1_PERCT."</f>
        <v>#N/A</v>
      </c>
      <c r="B615" s="43">
        <f>ROUND(PAGE5!$G$71,5)</f>
        <v>0</v>
      </c>
      <c r="C615" s="43">
        <f>ROUND(PAGE5!$I$71,5)</f>
        <v>0</v>
      </c>
    </row>
    <row r="616" spans="1:3">
      <c r="A616" s="146" t="e">
        <f>$C$1&amp;".E30A.REM.ADJ.IBUS.DISB._INT.OVR_15.1_PERCT."</f>
        <v>#N/A</v>
      </c>
      <c r="B616" s="43">
        <f>ROUND(PAGE5!$K$71,5)</f>
        <v>0</v>
      </c>
      <c r="C616" s="43">
        <f>ROUND(PAGE5!$M$71,5)</f>
        <v>0</v>
      </c>
    </row>
    <row r="617" spans="1:3">
      <c r="A617" s="146" t="e">
        <f>$C$1&amp;".E30A.REM.IBUS.DISB._INT.OVR_15.1_PERCT.TTL."</f>
        <v>#N/A</v>
      </c>
      <c r="B617" s="43">
        <f>ROUND(PAGE5!$P$71,5)</f>
        <v>0</v>
      </c>
      <c r="C617" s="43">
        <f>ROUND(PAGE5!$R$71,5)</f>
        <v>0</v>
      </c>
    </row>
    <row r="618" spans="1:3">
      <c r="A618" s="146" t="e">
        <f>$C$1&amp;".E30A.REM.IBUS.DISB.TTL."</f>
        <v>#N/A</v>
      </c>
      <c r="B618" s="43">
        <f>ROUND(PAGE5!P73,5)</f>
        <v>0</v>
      </c>
      <c r="C618" s="43">
        <f>ROUND(PAGE5!R73,5)</f>
        <v>0</v>
      </c>
    </row>
    <row r="619" spans="1:3">
      <c r="A619" s="146" t="e">
        <f>$C$1&amp;".E30A.REM.FR.UIBUS.DISB._INT.0_3_PERCT."</f>
        <v>#N/A</v>
      </c>
      <c r="B619" s="43">
        <f>ROUND(PAGE5!$C$77,5)</f>
        <v>0</v>
      </c>
      <c r="C619" s="43">
        <f>ROUND(PAGE5!$E$77,5)</f>
        <v>0</v>
      </c>
    </row>
    <row r="620" spans="1:3">
      <c r="A620" s="146" t="e">
        <f>$C$1&amp;".E30A.REM.VAR.UIBUS.DISB._INT.0_3_PERCT."</f>
        <v>#N/A</v>
      </c>
      <c r="B620" s="43">
        <f>ROUND(PAGE5!$G$77,5)</f>
        <v>0</v>
      </c>
      <c r="C620" s="43">
        <f>ROUND(PAGE5!$I$77,5)</f>
        <v>0</v>
      </c>
    </row>
    <row r="621" spans="1:3">
      <c r="A621" s="146" t="e">
        <f>$C$1&amp;".E30A.REM.ADJ.UIBUS.DISB._INT.0_3_PERCT."</f>
        <v>#N/A</v>
      </c>
      <c r="B621" s="43">
        <f>ROUND(PAGE5!$K$77,5)</f>
        <v>0</v>
      </c>
      <c r="C621" s="43">
        <f>ROUND(PAGE5!$M$77,5)</f>
        <v>0</v>
      </c>
    </row>
    <row r="622" spans="1:3">
      <c r="A622" s="146" t="e">
        <f>$C$1&amp;".E30A.REM.UIBUS.DISB._INT.0_3_PERCT.TTL."</f>
        <v>#N/A</v>
      </c>
      <c r="B622" s="43">
        <f>ROUND(PAGE5!$P$77,5)</f>
        <v>0</v>
      </c>
      <c r="C622" s="43">
        <f>ROUND(PAGE5!$R$77,5)</f>
        <v>0</v>
      </c>
    </row>
    <row r="623" spans="1:3">
      <c r="A623" s="146" t="e">
        <f>$C$1&amp;".E30A.REM.FR.UIBUS.DISB._INT.3.1_4_PERCT."</f>
        <v>#N/A</v>
      </c>
      <c r="B623" s="43">
        <f>ROUND(PAGE5!$C$78,5)</f>
        <v>0</v>
      </c>
      <c r="C623" s="43">
        <f>ROUND(PAGE5!$E$78,5)</f>
        <v>0</v>
      </c>
    </row>
    <row r="624" spans="1:3">
      <c r="A624" s="146" t="e">
        <f>$C$1&amp;".E30A.REM.VAR.UIBUS.DISB._INT.3.1_4_PERCT."</f>
        <v>#N/A</v>
      </c>
      <c r="B624" s="43">
        <f>ROUND(PAGE5!$G$78,5)</f>
        <v>0</v>
      </c>
      <c r="C624" s="43">
        <f>ROUND(PAGE5!$I$78,5)</f>
        <v>0</v>
      </c>
    </row>
    <row r="625" spans="1:3">
      <c r="A625" s="146" t="e">
        <f>$C$1&amp;".E30A.REM.ADJ.UIBUS.DISB._INT.3.1_4_PERCT."</f>
        <v>#N/A</v>
      </c>
      <c r="B625" s="43">
        <f>ROUND(PAGE5!$K$78,5)</f>
        <v>0</v>
      </c>
      <c r="C625" s="43">
        <f>ROUND(PAGE5!$M$78,5)</f>
        <v>0</v>
      </c>
    </row>
    <row r="626" spans="1:3">
      <c r="A626" s="146" t="e">
        <f>$C$1&amp;".E30A.REM.UIBUS.DISB._INT.3.1_4_PERCT.TTL."</f>
        <v>#N/A</v>
      </c>
      <c r="B626" s="43">
        <f>ROUND(PAGE5!$P$78,5)</f>
        <v>0</v>
      </c>
      <c r="C626" s="43">
        <f>ROUND(PAGE5!$R$78,5)</f>
        <v>0</v>
      </c>
    </row>
    <row r="627" spans="1:3">
      <c r="A627" s="146" t="e">
        <f>$C$1&amp;".E30A.REM.FR.UIBUS.DISB._INT.4.1_5_PERCT."</f>
        <v>#N/A</v>
      </c>
      <c r="B627" s="43">
        <f>ROUND(PAGE5!$C$79,5)</f>
        <v>0</v>
      </c>
      <c r="C627" s="43">
        <f>ROUND(PAGE5!$E$79,5)</f>
        <v>0</v>
      </c>
    </row>
    <row r="628" spans="1:3">
      <c r="A628" s="146" t="e">
        <f>$C$1&amp;".E30A.REM.VAR.UIBUS.DISB._INT.4.1_5_PERCT."</f>
        <v>#N/A</v>
      </c>
      <c r="B628" s="43">
        <f>ROUND(PAGE5!$G$79,5)</f>
        <v>0</v>
      </c>
      <c r="C628" s="43">
        <f>ROUND(PAGE5!$I$79,5)</f>
        <v>0</v>
      </c>
    </row>
    <row r="629" spans="1:3">
      <c r="A629" s="146" t="e">
        <f>$C$1&amp;".E30A.REM.ADJ.UIBUS.DISB._INT.4.1_5_PERCT."</f>
        <v>#N/A</v>
      </c>
      <c r="B629" s="43">
        <f>ROUND(PAGE5!$K$79,5)</f>
        <v>0</v>
      </c>
      <c r="C629" s="43">
        <f>ROUND(PAGE5!$M$79,5)</f>
        <v>0</v>
      </c>
    </row>
    <row r="630" spans="1:3">
      <c r="A630" s="146" t="e">
        <f>$C$1&amp;".E30A.REM.UIBUS.DISB._INT.4.1_5_PERCT.TTL."</f>
        <v>#N/A</v>
      </c>
      <c r="B630" s="43">
        <f>ROUND(PAGE5!$P$79,5)</f>
        <v>0</v>
      </c>
      <c r="C630" s="43">
        <f>ROUND(PAGE5!$R$79,5)</f>
        <v>0</v>
      </c>
    </row>
    <row r="631" spans="1:3">
      <c r="A631" s="146" t="e">
        <f>$C$1&amp;".E30A.REM.FR.UIBUS.DISB._INT.5.1_6_PERCT."</f>
        <v>#N/A</v>
      </c>
      <c r="B631" s="43">
        <f>ROUND(PAGE5!$C$80,5)</f>
        <v>0</v>
      </c>
      <c r="C631" s="43">
        <f>ROUND(PAGE5!$E$80,5)</f>
        <v>0</v>
      </c>
    </row>
    <row r="632" spans="1:3">
      <c r="A632" s="146" t="e">
        <f>$C$1&amp;".E30A.REM.VAR.UIBUS.DISB._INT.5.1_6_PERCT."</f>
        <v>#N/A</v>
      </c>
      <c r="B632" s="43">
        <f>ROUND(PAGE5!$G$80,5)</f>
        <v>0</v>
      </c>
      <c r="C632" s="43">
        <f>ROUND(PAGE5!$I$80,5)</f>
        <v>0</v>
      </c>
    </row>
    <row r="633" spans="1:3">
      <c r="A633" s="146" t="e">
        <f>$C$1&amp;".E30A.REM.ADJ.UIBUS.DISB._INT.5.1_6_PERCT."</f>
        <v>#N/A</v>
      </c>
      <c r="B633" s="43">
        <f>ROUND(PAGE5!$K$80,5)</f>
        <v>0</v>
      </c>
      <c r="C633" s="43">
        <f>ROUND(PAGE5!$M$80,5)</f>
        <v>0</v>
      </c>
    </row>
    <row r="634" spans="1:3">
      <c r="A634" s="146" t="e">
        <f>$C$1&amp;".E30A.REM.UIBUS.DISB._INT.5.1_6_PERCT.TTL."</f>
        <v>#N/A</v>
      </c>
      <c r="B634" s="43">
        <f>ROUND(PAGE5!$P$80,5)</f>
        <v>0</v>
      </c>
      <c r="C634" s="43">
        <f>ROUND(PAGE5!$R$80,5)</f>
        <v>0</v>
      </c>
    </row>
    <row r="635" spans="1:3">
      <c r="A635" s="146" t="e">
        <f>$C$1&amp;".E30A.REM.FR.UIBUS.DISB._INT.6.1_7_PERCT."</f>
        <v>#N/A</v>
      </c>
      <c r="B635" s="43">
        <f>ROUND(PAGE5!$C$81,5)</f>
        <v>0</v>
      </c>
      <c r="C635" s="43">
        <f>ROUND(PAGE5!$E$81,5)</f>
        <v>0</v>
      </c>
    </row>
    <row r="636" spans="1:3">
      <c r="A636" s="146" t="e">
        <f>$C$1&amp;".E30A.REM.VAR.UIBUS.DISB._INT.6.1_7_PERCT."</f>
        <v>#N/A</v>
      </c>
      <c r="B636" s="43">
        <f>ROUND(PAGE5!$G$81,5)</f>
        <v>0</v>
      </c>
      <c r="C636" s="43">
        <f>ROUND(PAGE5!$I$81,5)</f>
        <v>0</v>
      </c>
    </row>
    <row r="637" spans="1:3">
      <c r="A637" s="146" t="e">
        <f>$C$1&amp;".E30A.REM.ADJ.UIBUS.DISB._INT.6.1_7_PERCT."</f>
        <v>#N/A</v>
      </c>
      <c r="B637" s="43">
        <f>ROUND(PAGE5!$K$81,5)</f>
        <v>0</v>
      </c>
      <c r="C637" s="43">
        <f>ROUND(PAGE5!$M$81,5)</f>
        <v>0</v>
      </c>
    </row>
    <row r="638" spans="1:3">
      <c r="A638" s="146" t="e">
        <f>$C$1&amp;".E30A.REM.UIBUS.DISB._INT.6.1_7_PERCT.TTL."</f>
        <v>#N/A</v>
      </c>
      <c r="B638" s="43">
        <f>ROUND(PAGE5!$P$81,5)</f>
        <v>0</v>
      </c>
      <c r="C638" s="43">
        <f>ROUND(PAGE5!$R$81,5)</f>
        <v>0</v>
      </c>
    </row>
    <row r="639" spans="1:3">
      <c r="A639" s="146" t="e">
        <f>$C$1&amp;".E30A.REM.FR.UIBUS.DISB._INT.7.1_8_PERCT."</f>
        <v>#N/A</v>
      </c>
      <c r="B639" s="43">
        <f>ROUND(PAGE5!$C$82,5)</f>
        <v>0</v>
      </c>
      <c r="C639" s="43">
        <f>ROUND(PAGE5!$E$82,5)</f>
        <v>0</v>
      </c>
    </row>
    <row r="640" spans="1:3">
      <c r="A640" s="146" t="e">
        <f>$C$1&amp;".E30A.REM.VAR.UIBUS.DISB._INT.7.1_8_PERCT."</f>
        <v>#N/A</v>
      </c>
      <c r="B640" s="43">
        <f>ROUND(PAGE5!$G$82,5)</f>
        <v>0</v>
      </c>
      <c r="C640" s="43">
        <f>ROUND(PAGE5!$I$82,5)</f>
        <v>0</v>
      </c>
    </row>
    <row r="641" spans="1:3">
      <c r="A641" s="146" t="e">
        <f>$C$1&amp;".E30A.REM.ADJ.UIBUS.DISB._INT.7.1_8_PERCT."</f>
        <v>#N/A</v>
      </c>
      <c r="B641" s="43">
        <f>ROUND(PAGE5!$K$82,5)</f>
        <v>0</v>
      </c>
      <c r="C641" s="43">
        <f>ROUND(PAGE5!$M$82,5)</f>
        <v>0</v>
      </c>
    </row>
    <row r="642" spans="1:3">
      <c r="A642" s="146" t="e">
        <f>$C$1&amp;".E30A.REM.UIBUS.DISB._INT.7.1_8_PERCT.TTL."</f>
        <v>#N/A</v>
      </c>
      <c r="B642" s="43">
        <f>ROUND(PAGE5!$P$82,5)</f>
        <v>0</v>
      </c>
      <c r="C642" s="43">
        <f>ROUND(PAGE5!$R$82,5)</f>
        <v>0</v>
      </c>
    </row>
    <row r="643" spans="1:3">
      <c r="A643" s="146" t="e">
        <f>$C$1&amp;".E30A.REM.FR.UIBUS.DISB._INT.8.1_9_PERCT."</f>
        <v>#N/A</v>
      </c>
      <c r="B643" s="43">
        <f>ROUND(PAGE5!$C$83,5)</f>
        <v>0</v>
      </c>
      <c r="C643" s="43">
        <f>ROUND(PAGE5!$E$83,5)</f>
        <v>0</v>
      </c>
    </row>
    <row r="644" spans="1:3">
      <c r="A644" s="146" t="e">
        <f>$C$1&amp;".E30A.REM.VAR.UIBUS.DISB._INT.8.1_9_PERCT."</f>
        <v>#N/A</v>
      </c>
      <c r="B644" s="43">
        <f>ROUND(PAGE5!$G$83,5)</f>
        <v>0</v>
      </c>
      <c r="C644" s="43">
        <f>ROUND(PAGE5!$I$83,5)</f>
        <v>0</v>
      </c>
    </row>
    <row r="645" spans="1:3">
      <c r="A645" s="146" t="e">
        <f>$C$1&amp;".E30A.REM.ADJ.UIBUS.DISB._INT.8.1_9_PERCT."</f>
        <v>#N/A</v>
      </c>
      <c r="B645" s="43">
        <f>ROUND(PAGE5!$K$83,5)</f>
        <v>0</v>
      </c>
      <c r="C645" s="43">
        <f>ROUND(PAGE5!$M$83,5)</f>
        <v>0</v>
      </c>
    </row>
    <row r="646" spans="1:3">
      <c r="A646" s="146" t="e">
        <f>$C$1&amp;".E30A.REM.UIBUS.DISB._INT.8.1_9_PERCT.TTL."</f>
        <v>#N/A</v>
      </c>
      <c r="B646" s="43">
        <f>ROUND(PAGE5!$P$83,5)</f>
        <v>0</v>
      </c>
      <c r="C646" s="43">
        <f>ROUND(PAGE5!$R$83,5)</f>
        <v>0</v>
      </c>
    </row>
    <row r="647" spans="1:3">
      <c r="A647" s="146" t="e">
        <f>$C$1&amp;".E30A.REM.FR.UIBUS.DISB._INT.9.1_10_PERCT."</f>
        <v>#N/A</v>
      </c>
      <c r="B647" s="43">
        <f>ROUND(PAGE5!$C$84,5)</f>
        <v>0</v>
      </c>
      <c r="C647" s="43">
        <f>ROUND(PAGE5!$E$84,5)</f>
        <v>0</v>
      </c>
    </row>
    <row r="648" spans="1:3">
      <c r="A648" s="146" t="e">
        <f>$C$1&amp;".E30A.REM.VAR.UIBUS.DISB._INT.9.1_10_PERCT."</f>
        <v>#N/A</v>
      </c>
      <c r="B648" s="43">
        <f>ROUND(PAGE5!$G$84,5)</f>
        <v>0</v>
      </c>
      <c r="C648" s="43">
        <f>ROUND(PAGE5!$I$84,5)</f>
        <v>0</v>
      </c>
    </row>
    <row r="649" spans="1:3">
      <c r="A649" s="146" t="e">
        <f>$C$1&amp;".E30A.REM.ADJ.UIBUS.DISB._INT.9.1_10_PERCT."</f>
        <v>#N/A</v>
      </c>
      <c r="B649" s="43">
        <f>ROUND(PAGE5!$K$84,5)</f>
        <v>0</v>
      </c>
      <c r="C649" s="43">
        <f>ROUND(PAGE5!$M$84,5)</f>
        <v>0</v>
      </c>
    </row>
    <row r="650" spans="1:3">
      <c r="A650" s="146" t="e">
        <f>$C$1&amp;".E30A.REM.UIBUS.DISB._INT.9.1_10_PERCT.TTL."</f>
        <v>#N/A</v>
      </c>
      <c r="B650" s="43">
        <f>ROUND(PAGE5!$P$84,5)</f>
        <v>0</v>
      </c>
      <c r="C650" s="43">
        <f>ROUND(PAGE5!$R$84,5)</f>
        <v>0</v>
      </c>
    </row>
    <row r="651" spans="1:3">
      <c r="A651" s="146" t="e">
        <f>$C$1&amp;".E30A.REM.FR.UIBUS.DISB._INT.10.1_11_PERCT."</f>
        <v>#N/A</v>
      </c>
      <c r="B651" s="43">
        <f>ROUND(PAGE5!$C$85,5)</f>
        <v>0</v>
      </c>
      <c r="C651" s="43">
        <f>ROUND(PAGE5!$E$85,5)</f>
        <v>0</v>
      </c>
    </row>
    <row r="652" spans="1:3">
      <c r="A652" s="146" t="e">
        <f>$C$1&amp;".E30A.REM.VAR.UIBUS.DISB._INT.10.1_11_PERCT."</f>
        <v>#N/A</v>
      </c>
      <c r="B652" s="43">
        <f>ROUND(PAGE5!$G$85,5)</f>
        <v>0</v>
      </c>
      <c r="C652" s="43">
        <f>ROUND(PAGE5!$I$85,5)</f>
        <v>0</v>
      </c>
    </row>
    <row r="653" spans="1:3">
      <c r="A653" s="146" t="e">
        <f>$C$1&amp;".E30A.REM.ADJ.UIBUS.DISB._INT.10.1_11_PERCT."</f>
        <v>#N/A</v>
      </c>
      <c r="B653" s="43">
        <f>ROUND(PAGE5!$K$85,5)</f>
        <v>0</v>
      </c>
      <c r="C653" s="43">
        <f>ROUND(PAGE5!$M$85,5)</f>
        <v>0</v>
      </c>
    </row>
    <row r="654" spans="1:3">
      <c r="A654" s="146" t="e">
        <f>$C$1&amp;".E30A.REM.UIBUS.DISB._INT.10.1_11_PERCT.TTL."</f>
        <v>#N/A</v>
      </c>
      <c r="B654" s="43">
        <f>ROUND(PAGE5!$P$85,5)</f>
        <v>0</v>
      </c>
      <c r="C654" s="43">
        <f>ROUND(PAGE5!$R$85,5)</f>
        <v>0</v>
      </c>
    </row>
    <row r="655" spans="1:3">
      <c r="A655" s="146" t="e">
        <f>$C$1&amp;".E30A.REM.FR.UIBUS.DISB._INT.11.1_12_PERCT."</f>
        <v>#N/A</v>
      </c>
      <c r="B655" s="43">
        <f>ROUND(PAGE5!$C$86,5)</f>
        <v>0</v>
      </c>
      <c r="C655" s="43">
        <f>ROUND(PAGE5!$E$86,5)</f>
        <v>0</v>
      </c>
    </row>
    <row r="656" spans="1:3">
      <c r="A656" s="146" t="e">
        <f>$C$1&amp;".E30A.REM.VAR.UIBUS.DISB._INT.11.1_12_PERCT."</f>
        <v>#N/A</v>
      </c>
      <c r="B656" s="43">
        <f>ROUND(PAGE5!$G$86,5)</f>
        <v>0</v>
      </c>
      <c r="C656" s="43">
        <f>ROUND(PAGE5!$I$86,5)</f>
        <v>0</v>
      </c>
    </row>
    <row r="657" spans="1:3">
      <c r="A657" s="146" t="e">
        <f>$C$1&amp;".E30A.REM.ADJ.UIBUS.DISB._INT.11.1_12_PERCT."</f>
        <v>#N/A</v>
      </c>
      <c r="B657" s="43">
        <f>ROUND(PAGE5!$K$86,5)</f>
        <v>0</v>
      </c>
      <c r="C657" s="43">
        <f>ROUND(PAGE5!$M$86,5)</f>
        <v>0</v>
      </c>
    </row>
    <row r="658" spans="1:3">
      <c r="A658" s="146" t="e">
        <f>$C$1&amp;".E30A.REM.UIBUS.DISB._INT.11.1_12_PERCT.TTL."</f>
        <v>#N/A</v>
      </c>
      <c r="B658" s="43">
        <f>ROUND(PAGE5!$P$86,5)</f>
        <v>0</v>
      </c>
      <c r="C658" s="43">
        <f>ROUND(PAGE5!$R$86,5)</f>
        <v>0</v>
      </c>
    </row>
    <row r="659" spans="1:3">
      <c r="A659" s="146" t="e">
        <f>$C$1&amp;".E30A.REM.FR.UIBUS.DISB._INT.12.1_13_PERCT."</f>
        <v>#N/A</v>
      </c>
      <c r="B659" s="43">
        <f>ROUND(PAGE5!$C$87,5)</f>
        <v>0</v>
      </c>
      <c r="C659" s="43">
        <f>ROUND(PAGE5!$E$87,5)</f>
        <v>0</v>
      </c>
    </row>
    <row r="660" spans="1:3">
      <c r="A660" s="146" t="e">
        <f>$C$1&amp;".E30A.REM.VAR.UIBUS.DISB._INT.12.1_13_PERCT."</f>
        <v>#N/A</v>
      </c>
      <c r="B660" s="43">
        <f>ROUND(PAGE5!$G$87,5)</f>
        <v>0</v>
      </c>
      <c r="C660" s="43">
        <f>ROUND(PAGE5!$I$87,5)</f>
        <v>0</v>
      </c>
    </row>
    <row r="661" spans="1:3">
      <c r="A661" s="146" t="e">
        <f>$C$1&amp;".E30A.REM.ADJ.UIBUS.DISB._INT.12.1_13_PERCT."</f>
        <v>#N/A</v>
      </c>
      <c r="B661" s="43">
        <f>ROUND(PAGE5!$K$87,5)</f>
        <v>0</v>
      </c>
      <c r="C661" s="43">
        <f>ROUND(PAGE5!$M$87,5)</f>
        <v>0</v>
      </c>
    </row>
    <row r="662" spans="1:3">
      <c r="A662" s="146" t="e">
        <f>$C$1&amp;".E30A.REM.UIBUS.DISB._INT.12.1_13_PERCT.TTL."</f>
        <v>#N/A</v>
      </c>
      <c r="B662" s="43">
        <f>ROUND(PAGE5!$P$87,5)</f>
        <v>0</v>
      </c>
      <c r="C662" s="43">
        <f>ROUND(PAGE5!$R$87,5)</f>
        <v>0</v>
      </c>
    </row>
    <row r="663" spans="1:3">
      <c r="A663" s="146" t="e">
        <f>$C$1&amp;".E30A.REM.FR.UIBUS.DISB._INT.13.1_14_PERCT."</f>
        <v>#N/A</v>
      </c>
      <c r="B663" s="43">
        <f>ROUND(PAGE5!$C$88,5)</f>
        <v>0</v>
      </c>
      <c r="C663" s="43">
        <f>ROUND(PAGE5!$E$88,5)</f>
        <v>0</v>
      </c>
    </row>
    <row r="664" spans="1:3">
      <c r="A664" s="146" t="e">
        <f>$C$1&amp;".E30A.REM.VAR.UIBUS.DISB._INT.13.1_14_PERCT."</f>
        <v>#N/A</v>
      </c>
      <c r="B664" s="43">
        <f>ROUND(PAGE5!$G$88,5)</f>
        <v>0</v>
      </c>
      <c r="C664" s="43">
        <f>ROUND(PAGE5!$I$88,5)</f>
        <v>0</v>
      </c>
    </row>
    <row r="665" spans="1:3">
      <c r="A665" s="146" t="e">
        <f>$C$1&amp;".E30A.REM.ADJ.UIBUS.DISB._INT.13.1_14_PERCT."</f>
        <v>#N/A</v>
      </c>
      <c r="B665" s="43">
        <f>ROUND(PAGE5!$K$88,5)</f>
        <v>0</v>
      </c>
      <c r="C665" s="43">
        <f>ROUND(PAGE5!$M$88,5)</f>
        <v>0</v>
      </c>
    </row>
    <row r="666" spans="1:3">
      <c r="A666" s="146" t="e">
        <f>$C$1&amp;".E30A.REM.UIBUS.DISB._INT.13.1_14_PERCT.TTL."</f>
        <v>#N/A</v>
      </c>
      <c r="B666" s="43">
        <f>ROUND(PAGE5!$P$88,5)</f>
        <v>0</v>
      </c>
      <c r="C666" s="43">
        <f>ROUND(PAGE5!$R$88,5)</f>
        <v>0</v>
      </c>
    </row>
    <row r="667" spans="1:3">
      <c r="A667" s="146" t="e">
        <f>$C$1&amp;".E30A.REM.FR.UIBUS.DISB._INT.14.1_15_PERCT."</f>
        <v>#N/A</v>
      </c>
      <c r="B667" s="43">
        <f>ROUND(PAGE5!$C$89,5)</f>
        <v>0</v>
      </c>
      <c r="C667" s="43">
        <f>ROUND(PAGE5!$E$89,5)</f>
        <v>0</v>
      </c>
    </row>
    <row r="668" spans="1:3">
      <c r="A668" s="146" t="e">
        <f>$C$1&amp;".E30A.REM.VAR.UIBUS.DISB._INT.14.1_15_PERCT."</f>
        <v>#N/A</v>
      </c>
      <c r="B668" s="43">
        <f>ROUND(PAGE5!$G$89,5)</f>
        <v>0</v>
      </c>
      <c r="C668" s="43">
        <f>ROUND(PAGE5!$I$89,5)</f>
        <v>0</v>
      </c>
    </row>
    <row r="669" spans="1:3">
      <c r="A669" s="146" t="e">
        <f>$C$1&amp;".E30A.REM.ADJ.UIBUS.DISB._INT.14.1_15_PERCT."</f>
        <v>#N/A</v>
      </c>
      <c r="B669" s="43">
        <f>ROUND(PAGE5!$K$89,5)</f>
        <v>0</v>
      </c>
      <c r="C669" s="43">
        <f>ROUND(PAGE5!$M$89,5)</f>
        <v>0</v>
      </c>
    </row>
    <row r="670" spans="1:3">
      <c r="A670" s="146" t="e">
        <f>$C$1&amp;".E30A.REM.UIBUS.DISB._INT.14.1_15_PERCT.TTL."</f>
        <v>#N/A</v>
      </c>
      <c r="B670" s="43">
        <f>ROUND(PAGE5!$P$89,5)</f>
        <v>0</v>
      </c>
      <c r="C670" s="43">
        <f>ROUND(PAGE5!$R$89,5)</f>
        <v>0</v>
      </c>
    </row>
    <row r="671" spans="1:3">
      <c r="A671" s="146" t="e">
        <f>$C$1&amp;".E30A.REM.FR.UIBUS.DISB._INT.OVR_15.1_PERCT."</f>
        <v>#N/A</v>
      </c>
      <c r="B671" s="43">
        <f>ROUND(PAGE5!$C$90,5)</f>
        <v>0</v>
      </c>
      <c r="C671" s="43">
        <f>ROUND(PAGE5!$E$90,5)</f>
        <v>0</v>
      </c>
    </row>
    <row r="672" spans="1:3">
      <c r="A672" s="146" t="e">
        <f>$C$1&amp;".E30A.REM.VAR.UIBUS.DISB._INT.OVR_15.1_PERCT."</f>
        <v>#N/A</v>
      </c>
      <c r="B672" s="43">
        <f>ROUND(PAGE5!$G$90,5)</f>
        <v>0</v>
      </c>
      <c r="C672" s="43">
        <f>ROUND(PAGE5!$I$90,5)</f>
        <v>0</v>
      </c>
    </row>
    <row r="673" spans="1:3">
      <c r="A673" s="146" t="e">
        <f>$C$1&amp;".E30A.REM.ADJ.UIBUS.DISB._INT.OVR_15.1_PERCT."</f>
        <v>#N/A</v>
      </c>
      <c r="B673" s="43">
        <f>ROUND(PAGE5!$K$90,5)</f>
        <v>0</v>
      </c>
      <c r="C673" s="43">
        <f>ROUND(PAGE5!$M$90,5)</f>
        <v>0</v>
      </c>
    </row>
    <row r="674" spans="1:3">
      <c r="A674" s="146" t="e">
        <f>$C$1&amp;".E30A.REM.UIBUS.DISB._INT.OVR_15.1_PERCT.TTL."</f>
        <v>#N/A</v>
      </c>
      <c r="B674" s="43">
        <f>ROUND(PAGE5!$P$90,5)</f>
        <v>0</v>
      </c>
      <c r="C674" s="43">
        <f>ROUND(PAGE5!$R$90,5)</f>
        <v>0</v>
      </c>
    </row>
    <row r="675" spans="1:3">
      <c r="A675" s="146" t="e">
        <f>$C$1&amp;".E30A.REM.UIBUS.DISB.TTL."</f>
        <v>#N/A</v>
      </c>
      <c r="B675" s="43">
        <f>ROUND(PAGE5!P92,5)</f>
        <v>0</v>
      </c>
      <c r="C675" s="43">
        <f>ROUND(PAGE5!R92,5)</f>
        <v>0</v>
      </c>
    </row>
    <row r="676" spans="1:3">
      <c r="A676" s="146" t="e">
        <f>$C$1&amp;".E30A.REM.FR.CONSM.DISB._INT.0_3_PERCT."</f>
        <v>#N/A</v>
      </c>
      <c r="B676" s="43">
        <f>ROUND(PAGE5!$C$95,5)</f>
        <v>0</v>
      </c>
      <c r="C676" s="43">
        <f>ROUND(PAGE5!$E$95,5)</f>
        <v>0</v>
      </c>
    </row>
    <row r="677" spans="1:3">
      <c r="A677" s="146" t="e">
        <f>$C$1&amp;".E30A.REM.VAR.CONSM.DISB._INT.0_3_PERCT."</f>
        <v>#N/A</v>
      </c>
      <c r="B677" s="43">
        <f>ROUND(PAGE5!$G$95,5)</f>
        <v>0</v>
      </c>
      <c r="C677" s="43">
        <f>ROUND(PAGE5!$I$95,5)</f>
        <v>0</v>
      </c>
    </row>
    <row r="678" spans="1:3">
      <c r="A678" s="146" t="e">
        <f>$C$1&amp;".E30A.REM.ADJ.CONSM.DISB._INT.0_3_PERCT."</f>
        <v>#N/A</v>
      </c>
      <c r="B678" s="43">
        <f>ROUND(PAGE5!$K$95,5)</f>
        <v>0</v>
      </c>
      <c r="C678" s="43">
        <f>ROUND(PAGE5!$M$95,5)</f>
        <v>0</v>
      </c>
    </row>
    <row r="679" spans="1:3">
      <c r="A679" s="146" t="e">
        <f>$C$1&amp;".E30A.REM.CONSM.DISB._INT.0_3_PERCT.TTL."</f>
        <v>#N/A</v>
      </c>
      <c r="B679" s="43">
        <f>ROUND(PAGE5!$P$95,5)</f>
        <v>0</v>
      </c>
      <c r="C679" s="43">
        <f>ROUND(PAGE5!$R$95,5)</f>
        <v>0</v>
      </c>
    </row>
    <row r="680" spans="1:3">
      <c r="A680" s="146" t="e">
        <f>$C$1&amp;".E30A.REM.FR.CONSM.DISB._INT.3.1_4_PERCT."</f>
        <v>#N/A</v>
      </c>
      <c r="B680" s="43">
        <f>ROUND(PAGE5!$C$96,5)</f>
        <v>0</v>
      </c>
      <c r="C680" s="43">
        <f>ROUND(PAGE5!$E$96,5)</f>
        <v>0</v>
      </c>
    </row>
    <row r="681" spans="1:3">
      <c r="A681" s="146" t="e">
        <f>$C$1&amp;".E30A.REM.VAR.CONSM.DISB._INT.3.1_4_PERCT."</f>
        <v>#N/A</v>
      </c>
      <c r="B681" s="43">
        <f>ROUND(PAGE5!$G$96,5)</f>
        <v>0</v>
      </c>
      <c r="C681" s="43">
        <f>ROUND(PAGE5!$I$96,5)</f>
        <v>0</v>
      </c>
    </row>
    <row r="682" spans="1:3">
      <c r="A682" s="146" t="e">
        <f>$C$1&amp;".E30A.REM.ADJ.CONSM.DISB._INT.3.1_4_PERCT."</f>
        <v>#N/A</v>
      </c>
      <c r="B682" s="43">
        <f>ROUND(PAGE5!$K$96,5)</f>
        <v>0</v>
      </c>
      <c r="C682" s="43">
        <f>ROUND(PAGE5!$M$96,5)</f>
        <v>0</v>
      </c>
    </row>
    <row r="683" spans="1:3">
      <c r="A683" s="146" t="e">
        <f>$C$1&amp;".E30A.REM.CONSM.DISB._INT.3.1_4_PERCT.TTL."</f>
        <v>#N/A</v>
      </c>
      <c r="B683" s="43">
        <f>ROUND(PAGE5!$P$96,5)</f>
        <v>0</v>
      </c>
      <c r="C683" s="43">
        <f>ROUND(PAGE5!$R$96,5)</f>
        <v>0</v>
      </c>
    </row>
    <row r="684" spans="1:3">
      <c r="A684" s="146" t="e">
        <f>$C$1&amp;".E30A.REM.FR.CONSM.DISB._INT.4.1_5_PERCT."</f>
        <v>#N/A</v>
      </c>
      <c r="B684" s="43">
        <f>ROUND(PAGE5!$C$97,5)</f>
        <v>0</v>
      </c>
      <c r="C684" s="43">
        <f>ROUND(PAGE5!$E$97,5)</f>
        <v>0</v>
      </c>
    </row>
    <row r="685" spans="1:3">
      <c r="A685" s="146" t="e">
        <f>$C$1&amp;".E30A.REM.VAR.CONSM.DISB._INT.4.1_5_PERCT."</f>
        <v>#N/A</v>
      </c>
      <c r="B685" s="43">
        <f>ROUND(PAGE5!$G$97,5)</f>
        <v>0</v>
      </c>
      <c r="C685" s="43">
        <f>ROUND(PAGE5!$I$97,5)</f>
        <v>0</v>
      </c>
    </row>
    <row r="686" spans="1:3">
      <c r="A686" s="146" t="e">
        <f>$C$1&amp;".E30A.REM.ADJ.CONSM.DISB._INT.4.1_5_PERCT."</f>
        <v>#N/A</v>
      </c>
      <c r="B686" s="43">
        <f>ROUND(PAGE5!$K$97,5)</f>
        <v>0</v>
      </c>
      <c r="C686" s="43">
        <f>ROUND(PAGE5!$M$97,5)</f>
        <v>0</v>
      </c>
    </row>
    <row r="687" spans="1:3">
      <c r="A687" s="146" t="e">
        <f>$C$1&amp;".E30A.REM.CONSM.DISB._INT.4.1_5_PERCT.TTL."</f>
        <v>#N/A</v>
      </c>
      <c r="B687" s="43">
        <f>ROUND(PAGE5!$P$97,5)</f>
        <v>0</v>
      </c>
      <c r="C687" s="43">
        <f>ROUND(PAGE5!$R$97,5)</f>
        <v>0</v>
      </c>
    </row>
    <row r="688" spans="1:3">
      <c r="A688" s="146" t="e">
        <f>$C$1&amp;".E30A.REM.FR.CONSM.DISB._INT.5.1_6_PERCT."</f>
        <v>#N/A</v>
      </c>
      <c r="B688" s="43">
        <f>ROUND(PAGE5!$C$98,5)</f>
        <v>0</v>
      </c>
      <c r="C688" s="43">
        <f>ROUND(PAGE5!$E$98,5)</f>
        <v>0</v>
      </c>
    </row>
    <row r="689" spans="1:3">
      <c r="A689" s="146" t="e">
        <f>$C$1&amp;".E30A.REM.VAR.CONSM.DISB._INT.5.1_6_PERCT."</f>
        <v>#N/A</v>
      </c>
      <c r="B689" s="43">
        <f>ROUND(PAGE5!$G$98,5)</f>
        <v>0</v>
      </c>
      <c r="C689" s="43">
        <f>ROUND(PAGE5!$I$98,5)</f>
        <v>0</v>
      </c>
    </row>
    <row r="690" spans="1:3">
      <c r="A690" s="146" t="e">
        <f>$C$1&amp;".E30A.REM.ADJ.CONSM.DISB._INT.5.1_6_PERCT."</f>
        <v>#N/A</v>
      </c>
      <c r="B690" s="43">
        <f>ROUND(PAGE5!$K$98,5)</f>
        <v>0</v>
      </c>
      <c r="C690" s="43">
        <f>ROUND(PAGE5!$M$98,5)</f>
        <v>0</v>
      </c>
    </row>
    <row r="691" spans="1:3">
      <c r="A691" s="146" t="e">
        <f>$C$1&amp;".E30A.REM.CONSM.DISB._INT.5.1_6_PERCT.TTL."</f>
        <v>#N/A</v>
      </c>
      <c r="B691" s="43">
        <f>ROUND(PAGE5!$P$98,5)</f>
        <v>0</v>
      </c>
      <c r="C691" s="43">
        <f>ROUND(PAGE5!$R$98,5)</f>
        <v>0</v>
      </c>
    </row>
    <row r="692" spans="1:3">
      <c r="A692" s="146" t="e">
        <f>$C$1&amp;".E30A.REM.FR.CONSM.DISB._INT.6.1_7_PERCT."</f>
        <v>#N/A</v>
      </c>
      <c r="B692" s="43">
        <f>ROUND(PAGE5!$C$99,5)</f>
        <v>0</v>
      </c>
      <c r="C692" s="43">
        <f>ROUND(PAGE5!$E$99,5)</f>
        <v>0</v>
      </c>
    </row>
    <row r="693" spans="1:3">
      <c r="A693" s="146" t="e">
        <f>$C$1&amp;".E30A.REM.VAR.CONSM.DISB._INT.6.1_7_PERCT."</f>
        <v>#N/A</v>
      </c>
      <c r="B693" s="43">
        <f>ROUND(PAGE5!$G$99,5)</f>
        <v>0</v>
      </c>
      <c r="C693" s="43">
        <f>ROUND(PAGE5!$I$99,5)</f>
        <v>0</v>
      </c>
    </row>
    <row r="694" spans="1:3">
      <c r="A694" s="146" t="e">
        <f>$C$1&amp;".E30A.REM.ADJ.CONSM.DISB._INT.6.1_7_PERCT."</f>
        <v>#N/A</v>
      </c>
      <c r="B694" s="43">
        <f>ROUND(PAGE5!$K$99,5)</f>
        <v>0</v>
      </c>
      <c r="C694" s="43">
        <f>ROUND(PAGE5!$M$99,5)</f>
        <v>0</v>
      </c>
    </row>
    <row r="695" spans="1:3">
      <c r="A695" s="146" t="e">
        <f>$C$1&amp;".E30A.REM.CONSM.DISB._INT.6.1_7_PERCT.TTL."</f>
        <v>#N/A</v>
      </c>
      <c r="B695" s="43">
        <f>ROUND(PAGE5!$P$99,5)</f>
        <v>0</v>
      </c>
      <c r="C695" s="43">
        <f>ROUND(PAGE5!$R$99,5)</f>
        <v>0</v>
      </c>
    </row>
    <row r="696" spans="1:3">
      <c r="A696" s="146" t="e">
        <f>$C$1&amp;".E30A.REM.FR.CONSM.DISB._INT.7.1_8_PERCT."</f>
        <v>#N/A</v>
      </c>
      <c r="B696" s="43">
        <f>ROUND(PAGE5!$C$100,5)</f>
        <v>0</v>
      </c>
      <c r="C696" s="43">
        <f>ROUND(PAGE5!$E$100,5)</f>
        <v>0</v>
      </c>
    </row>
    <row r="697" spans="1:3">
      <c r="A697" s="146" t="e">
        <f>$C$1&amp;".E30A.REM.VAR.CONSM.DISB._INT.7.1_8_PERCT."</f>
        <v>#N/A</v>
      </c>
      <c r="B697" s="43">
        <f>ROUND(PAGE5!$G$100,5)</f>
        <v>0</v>
      </c>
      <c r="C697" s="43">
        <f>ROUND(PAGE5!$I$100,5)</f>
        <v>0</v>
      </c>
    </row>
    <row r="698" spans="1:3">
      <c r="A698" s="146" t="e">
        <f>$C$1&amp;".E30A.REM.ADJ.CONSM.DISB._INT.7.1_8_PERCT."</f>
        <v>#N/A</v>
      </c>
      <c r="B698" s="43">
        <f>ROUND(PAGE5!$K$100,5)</f>
        <v>0</v>
      </c>
      <c r="C698" s="43">
        <f>ROUND(PAGE5!$M$100,5)</f>
        <v>0</v>
      </c>
    </row>
    <row r="699" spans="1:3">
      <c r="A699" s="146" t="e">
        <f>$C$1&amp;".E30A.REM.CONSM.DISB._INT.7.1_8_PERCT.TTL."</f>
        <v>#N/A</v>
      </c>
      <c r="B699" s="43">
        <f>ROUND(PAGE5!$P$100,5)</f>
        <v>0</v>
      </c>
      <c r="C699" s="43">
        <f>ROUND(PAGE5!$R$100,5)</f>
        <v>0</v>
      </c>
    </row>
    <row r="700" spans="1:3">
      <c r="A700" s="146" t="e">
        <f>$C$1&amp;".E30A.REM.FR.CONSM.DISB._INT.8.1_9_PERCT."</f>
        <v>#N/A</v>
      </c>
      <c r="B700" s="43">
        <f>ROUND(PAGE5!$C$101,5)</f>
        <v>0</v>
      </c>
      <c r="C700" s="43">
        <f>ROUND(PAGE5!$E$101,5)</f>
        <v>0</v>
      </c>
    </row>
    <row r="701" spans="1:3">
      <c r="A701" s="146" t="e">
        <f>$C$1&amp;".E30A.REM.VAR.CONSM.DISB._INT.8.1_9_PERCT."</f>
        <v>#N/A</v>
      </c>
      <c r="B701" s="43">
        <f>ROUND(PAGE5!$G$101,5)</f>
        <v>0</v>
      </c>
      <c r="C701" s="43">
        <f>ROUND(PAGE5!$I$101,5)</f>
        <v>0</v>
      </c>
    </row>
    <row r="702" spans="1:3">
      <c r="A702" s="146" t="e">
        <f>$C$1&amp;".E30A.REM.ADJ.CONSM.DISB._INT.8.1_9_PERCT."</f>
        <v>#N/A</v>
      </c>
      <c r="B702" s="43">
        <f>ROUND(PAGE5!$K$101,5)</f>
        <v>0</v>
      </c>
      <c r="C702" s="43">
        <f>ROUND(PAGE5!$M$101,5)</f>
        <v>0</v>
      </c>
    </row>
    <row r="703" spans="1:3">
      <c r="A703" s="146" t="e">
        <f>$C$1&amp;".E30A.REM.CONSM.DISB._INT.8.1_9_PERCT.TTL."</f>
        <v>#N/A</v>
      </c>
      <c r="B703" s="43">
        <f>ROUND(PAGE5!$P$101,5)</f>
        <v>0</v>
      </c>
      <c r="C703" s="43">
        <f>ROUND(PAGE5!$R$101,5)</f>
        <v>0</v>
      </c>
    </row>
    <row r="704" spans="1:3">
      <c r="A704" s="146" t="e">
        <f>$C$1&amp;".E30A.REM.FR.CONSM.DISB._INT.9.1_10_PERCT."</f>
        <v>#N/A</v>
      </c>
      <c r="B704" s="43">
        <f>ROUND(PAGE5!$C$102,5)</f>
        <v>0</v>
      </c>
      <c r="C704" s="43">
        <f>ROUND(PAGE5!$E$102,5)</f>
        <v>0</v>
      </c>
    </row>
    <row r="705" spans="1:3">
      <c r="A705" s="146" t="e">
        <f>$C$1&amp;".E30A.REM.VAR.CONSM.DISB._INT.9.1_10_PERCT."</f>
        <v>#N/A</v>
      </c>
      <c r="B705" s="43">
        <f>ROUND(PAGE5!$G$102,5)</f>
        <v>0</v>
      </c>
      <c r="C705" s="43">
        <f>ROUND(PAGE5!$I$102,5)</f>
        <v>0</v>
      </c>
    </row>
    <row r="706" spans="1:3">
      <c r="A706" s="146" t="e">
        <f>$C$1&amp;".E30A.REM.ADJ.CONSM.DISB._INT.9.1_10_PERCT."</f>
        <v>#N/A</v>
      </c>
      <c r="B706" s="43">
        <f>ROUND(PAGE5!$K$102,5)</f>
        <v>0</v>
      </c>
      <c r="C706" s="43">
        <f>ROUND(PAGE5!$M$102,5)</f>
        <v>0</v>
      </c>
    </row>
    <row r="707" spans="1:3">
      <c r="A707" s="146" t="e">
        <f>$C$1&amp;".E30A.REM.CONSM.DISB._INT.9.1_10_PERCT.TTL."</f>
        <v>#N/A</v>
      </c>
      <c r="B707" s="43">
        <f>ROUND(PAGE5!$P$102,5)</f>
        <v>0</v>
      </c>
      <c r="C707" s="43">
        <f>ROUND(PAGE5!$R$102,5)</f>
        <v>0</v>
      </c>
    </row>
    <row r="708" spans="1:3">
      <c r="A708" s="146" t="e">
        <f>$C$1&amp;".E30A.REM.FR.CONSM.DISB._INT.10.1_11_PERCT."</f>
        <v>#N/A</v>
      </c>
      <c r="B708" s="43">
        <f>ROUND(PAGE5!$C$103,5)</f>
        <v>0</v>
      </c>
      <c r="C708" s="43">
        <f>ROUND(PAGE5!$E$103,5)</f>
        <v>0</v>
      </c>
    </row>
    <row r="709" spans="1:3">
      <c r="A709" s="146" t="e">
        <f>$C$1&amp;".E30A.REM.VAR.CONSM.DISB._INT.10.1_11_PERCT."</f>
        <v>#N/A</v>
      </c>
      <c r="B709" s="43">
        <f>ROUND(PAGE5!$G$103,5)</f>
        <v>0</v>
      </c>
      <c r="C709" s="43">
        <f>ROUND(PAGE5!$I$103,5)</f>
        <v>0</v>
      </c>
    </row>
    <row r="710" spans="1:3">
      <c r="A710" s="146" t="e">
        <f>$C$1&amp;".E30A.REM.ADJ.CONSM.DISB._INT.10.1_11_PERCT."</f>
        <v>#N/A</v>
      </c>
      <c r="B710" s="43">
        <f>ROUND(PAGE5!$K$103,5)</f>
        <v>0</v>
      </c>
      <c r="C710" s="43">
        <f>ROUND(PAGE5!$M$103,5)</f>
        <v>0</v>
      </c>
    </row>
    <row r="711" spans="1:3">
      <c r="A711" s="146" t="e">
        <f>$C$1&amp;".E30A.REM.CONSM.DISB._INT.10.1_11_PERCT.TTL."</f>
        <v>#N/A</v>
      </c>
      <c r="B711" s="43">
        <f>ROUND(PAGE5!$P$103,5)</f>
        <v>0</v>
      </c>
      <c r="C711" s="43">
        <f>ROUND(PAGE5!$R$103,5)</f>
        <v>0</v>
      </c>
    </row>
    <row r="712" spans="1:3">
      <c r="A712" s="146" t="e">
        <f>$C$1&amp;".E30A.REM.FR.CONSM.DISB._INT.11.1_12_PERCT."</f>
        <v>#N/A</v>
      </c>
      <c r="B712" s="43">
        <f>ROUND(PAGE5!$C$104,5)</f>
        <v>0</v>
      </c>
      <c r="C712" s="43">
        <f>ROUND(PAGE5!$E$104,5)</f>
        <v>0</v>
      </c>
    </row>
    <row r="713" spans="1:3">
      <c r="A713" s="146" t="e">
        <f>$C$1&amp;".E30A.REM.VAR.CONSM.DISB._INT.11.1_12_PERCT."</f>
        <v>#N/A</v>
      </c>
      <c r="B713" s="43">
        <f>ROUND(PAGE5!$G$104,5)</f>
        <v>0</v>
      </c>
      <c r="C713" s="43">
        <f>ROUND(PAGE5!$I$104,5)</f>
        <v>0</v>
      </c>
    </row>
    <row r="714" spans="1:3">
      <c r="A714" s="146" t="e">
        <f>$C$1&amp;".E30A.REM.ADJ.CONSM.DISB._INT.11.1_12_PERCT."</f>
        <v>#N/A</v>
      </c>
      <c r="B714" s="43">
        <f>ROUND(PAGE5!$K$104,5)</f>
        <v>0</v>
      </c>
      <c r="C714" s="43">
        <f>ROUND(PAGE5!$M$104,5)</f>
        <v>0</v>
      </c>
    </row>
    <row r="715" spans="1:3">
      <c r="A715" s="146" t="e">
        <f>$C$1&amp;".E30A.REM.CONSM.DISB._INT.11.1_12_PERCT.TTL."</f>
        <v>#N/A</v>
      </c>
      <c r="B715" s="43">
        <f>ROUND(PAGE5!$P$104,5)</f>
        <v>0</v>
      </c>
      <c r="C715" s="43">
        <f>ROUND(PAGE5!$R$104,5)</f>
        <v>0</v>
      </c>
    </row>
    <row r="716" spans="1:3">
      <c r="A716" s="146" t="e">
        <f>$C$1&amp;".E30A.REM.FR.CONSM.DISB._INT.12.1_13_PERCT."</f>
        <v>#N/A</v>
      </c>
      <c r="B716" s="43">
        <f>ROUND(PAGE5!$C$105,5)</f>
        <v>0</v>
      </c>
      <c r="C716" s="43">
        <f>ROUND(PAGE5!$E$105,5)</f>
        <v>0</v>
      </c>
    </row>
    <row r="717" spans="1:3">
      <c r="A717" s="146" t="e">
        <f>$C$1&amp;".E30A.REM.VAR.CONSM.DISB._INT.12.1_13_PERCT."</f>
        <v>#N/A</v>
      </c>
      <c r="B717" s="43">
        <f>ROUND(PAGE5!$G$105,5)</f>
        <v>0</v>
      </c>
      <c r="C717" s="43">
        <f>ROUND(PAGE5!$I$105,5)</f>
        <v>0</v>
      </c>
    </row>
    <row r="718" spans="1:3">
      <c r="A718" s="146" t="e">
        <f>$C$1&amp;".E30A.REM.ADJ.CONSM.DISB._INT.12.1_13_PERCT."</f>
        <v>#N/A</v>
      </c>
      <c r="B718" s="43">
        <f>ROUND(PAGE5!$K$105,5)</f>
        <v>0</v>
      </c>
      <c r="C718" s="43">
        <f>ROUND(PAGE5!$M$105,5)</f>
        <v>0</v>
      </c>
    </row>
    <row r="719" spans="1:3">
      <c r="A719" s="146" t="e">
        <f>$C$1&amp;".E30A.REM.CONSM.DISB._INT.12.1_13_PERCT.TTL."</f>
        <v>#N/A</v>
      </c>
      <c r="B719" s="43">
        <f>ROUND(PAGE5!$P$105,5)</f>
        <v>0</v>
      </c>
      <c r="C719" s="43">
        <f>ROUND(PAGE5!$R$105,5)</f>
        <v>0</v>
      </c>
    </row>
    <row r="720" spans="1:3">
      <c r="A720" s="146" t="e">
        <f>$C$1&amp;".E30A.REM.FR.CONSM.DISB._INT.13.1_14_PERCT."</f>
        <v>#N/A</v>
      </c>
      <c r="B720" s="43">
        <f>ROUND(PAGE5!$C$106,5)</f>
        <v>0</v>
      </c>
      <c r="C720" s="43">
        <f>ROUND(PAGE5!$E$106,5)</f>
        <v>0</v>
      </c>
    </row>
    <row r="721" spans="1:3">
      <c r="A721" s="146" t="e">
        <f>$C$1&amp;".E30A.REM.VAR.CONSM.DISB._INT.13.1_14_PERCT."</f>
        <v>#N/A</v>
      </c>
      <c r="B721" s="43">
        <f>ROUND(PAGE5!$G$106,5)</f>
        <v>0</v>
      </c>
      <c r="C721" s="43">
        <f>ROUND(PAGE5!$I$106,5)</f>
        <v>0</v>
      </c>
    </row>
    <row r="722" spans="1:3">
      <c r="A722" s="146" t="e">
        <f>$C$1&amp;".E30A.REM.ADJ.CONSM.DISB._INT.13.1_14_PERCT."</f>
        <v>#N/A</v>
      </c>
      <c r="B722" s="43">
        <f>ROUND(PAGE5!$K$106,5)</f>
        <v>0</v>
      </c>
      <c r="C722" s="43">
        <f>ROUND(PAGE5!$M$106,5)</f>
        <v>0</v>
      </c>
    </row>
    <row r="723" spans="1:3">
      <c r="A723" s="146" t="e">
        <f>$C$1&amp;".E30A.REM.CONSM.DISB._INT.13.1_14_PERCT.TTL."</f>
        <v>#N/A</v>
      </c>
      <c r="B723" s="43">
        <f>ROUND(PAGE5!$P$106,5)</f>
        <v>0</v>
      </c>
      <c r="C723" s="43">
        <f>ROUND(PAGE5!$R$106,5)</f>
        <v>0</v>
      </c>
    </row>
    <row r="724" spans="1:3">
      <c r="A724" s="146" t="e">
        <f>$C$1&amp;".E30A.REM.FR.CONSM.DISB._INT.14.1_15_PERCT."</f>
        <v>#N/A</v>
      </c>
      <c r="B724" s="43">
        <f>ROUND(PAGE5!$C$107,5)</f>
        <v>0</v>
      </c>
      <c r="C724" s="43">
        <f>ROUND(PAGE5!$E$107,5)</f>
        <v>0</v>
      </c>
    </row>
    <row r="725" spans="1:3">
      <c r="A725" s="146" t="e">
        <f>$C$1&amp;".E30A.REM.VAR.CONSM.DISB._INT.14.1_15_PERCT."</f>
        <v>#N/A</v>
      </c>
      <c r="B725" s="43">
        <f>ROUND(PAGE5!$G$107,5)</f>
        <v>0</v>
      </c>
      <c r="C725" s="43">
        <f>ROUND(PAGE5!$I$107,5)</f>
        <v>0</v>
      </c>
    </row>
    <row r="726" spans="1:3">
      <c r="A726" s="146" t="e">
        <f>$C$1&amp;".E30A.REM.ADJ.CONSM.DISB._INT.14.1_15_PERCT."</f>
        <v>#N/A</v>
      </c>
      <c r="B726" s="43">
        <f>ROUND(PAGE5!$K$107,5)</f>
        <v>0</v>
      </c>
      <c r="C726" s="43">
        <f>ROUND(PAGE5!$M$107,5)</f>
        <v>0</v>
      </c>
    </row>
    <row r="727" spans="1:3">
      <c r="A727" s="146" t="e">
        <f>$C$1&amp;".E30A.REM.CONSM.DISB._INT.14.1_15_PERCT.TTL."</f>
        <v>#N/A</v>
      </c>
      <c r="B727" s="43">
        <f>ROUND(PAGE5!$P$107,5)</f>
        <v>0</v>
      </c>
      <c r="C727" s="43">
        <f>ROUND(PAGE5!$R$107,5)</f>
        <v>0</v>
      </c>
    </row>
    <row r="728" spans="1:3">
      <c r="A728" s="146" t="e">
        <f>$C$1&amp;".E30A.REM.FR.CONSM.DISB._INT.OVR_15.1_PERCT."</f>
        <v>#N/A</v>
      </c>
      <c r="B728" s="43">
        <f>ROUND(PAGE5!$C$108,5)</f>
        <v>0</v>
      </c>
      <c r="C728" s="43">
        <f>ROUND(PAGE5!$E$108,5)</f>
        <v>0</v>
      </c>
    </row>
    <row r="729" spans="1:3">
      <c r="A729" s="146" t="e">
        <f>$C$1&amp;".E30A.REM.VAR.CONSM.DISB._INT.OVR_15.1_PERCT."</f>
        <v>#N/A</v>
      </c>
      <c r="B729" s="43">
        <f>ROUND(PAGE5!$G$108,5)</f>
        <v>0</v>
      </c>
      <c r="C729" s="43">
        <f>ROUND(PAGE5!$I$108,5)</f>
        <v>0</v>
      </c>
    </row>
    <row r="730" spans="1:3">
      <c r="A730" s="146" t="e">
        <f>$C$1&amp;".E30A.REM.ADJ.CONSM.DISB._INT.OVR_15.1_PERCT."</f>
        <v>#N/A</v>
      </c>
      <c r="B730" s="43">
        <f>ROUND(PAGE5!$K$108,5)</f>
        <v>0</v>
      </c>
      <c r="C730" s="43">
        <f>ROUND(PAGE5!$M$108,5)</f>
        <v>0</v>
      </c>
    </row>
    <row r="731" spans="1:3">
      <c r="A731" s="146" t="e">
        <f>$C$1&amp;".E30A.REM.CONSM.DISB._INT.OVR_15.1_PERCT.TTL."</f>
        <v>#N/A</v>
      </c>
      <c r="B731" s="43">
        <f>ROUND(PAGE5!$P$108,5)</f>
        <v>0</v>
      </c>
      <c r="C731" s="43">
        <f>ROUND(PAGE5!$R$108,5)</f>
        <v>0</v>
      </c>
    </row>
    <row r="732" spans="1:3">
      <c r="A732" s="146" t="e">
        <f>$C$1&amp;".E30A.REM.CONSM.DISB.TTL."</f>
        <v>#N/A</v>
      </c>
      <c r="B732" s="43">
        <f>ROUND(PAGE5!P110,5)</f>
        <v>0</v>
      </c>
      <c r="C732" s="43">
        <f>ROUND(PAGE5!R110,5)</f>
        <v>0</v>
      </c>
    </row>
    <row r="733" spans="1:3">
      <c r="A733" s="152" t="e">
        <f>$C$1&amp;".E30A.REM.FR.DISB.TTL"</f>
        <v>#N/A</v>
      </c>
      <c r="B733" s="43">
        <f>ROUND(PAGE5!$C$112,5)</f>
        <v>0</v>
      </c>
      <c r="C733" s="43">
        <f>ROUND(PAGE5!$E$112,5)</f>
        <v>0</v>
      </c>
    </row>
    <row r="734" spans="1:3">
      <c r="A734" s="152" t="e">
        <f>$C$1&amp;".E30A.REM.VAR.DISB.TTL"</f>
        <v>#N/A</v>
      </c>
      <c r="B734" s="43">
        <f>ROUND(PAGE5!$G$112,5)</f>
        <v>0</v>
      </c>
      <c r="C734" s="43">
        <f>ROUND(PAGE5!$I$112,5)</f>
        <v>0</v>
      </c>
    </row>
    <row r="735" spans="1:3">
      <c r="A735" s="152" t="e">
        <f>$C$1&amp;".E30A.REM.ADJ.DISB.TTL"</f>
        <v>#N/A</v>
      </c>
      <c r="B735" s="43">
        <f>ROUND(PAGE5!$K$112,5)</f>
        <v>0</v>
      </c>
      <c r="C735" s="43">
        <f>ROUND(PAGE5!$M$112,5)</f>
        <v>0</v>
      </c>
    </row>
    <row r="736" spans="1:3">
      <c r="A736" s="152" t="e">
        <f>$C$1&amp;".E30A.REM.DISB._GRNT.AGG_TTL..."</f>
        <v>#N/A</v>
      </c>
      <c r="B736" s="43">
        <f>ROUND(PAGE5!$P$112,5)</f>
        <v>0</v>
      </c>
      <c r="C736" s="43">
        <f>ROUND(PAGE5!$R$112,5)</f>
        <v>0</v>
      </c>
    </row>
    <row r="737" spans="1:3">
      <c r="A737" s="153" t="s">
        <v>167</v>
      </c>
      <c r="B737" s="43" t="s">
        <v>115</v>
      </c>
      <c r="C737" s="43" t="s">
        <v>116</v>
      </c>
    </row>
    <row r="738" spans="1:3">
      <c r="A738" s="146" t="e">
        <f>$C$1&amp;".E30A.REM.FR.PBSEC.OS._INT.0_3_PERCT"</f>
        <v>#N/A</v>
      </c>
      <c r="B738" s="43">
        <f>ROUND(PAGE6!$C$19,5)</f>
        <v>0</v>
      </c>
      <c r="C738" s="43">
        <f>ROUND(PAGE6!$E$19,5)</f>
        <v>0</v>
      </c>
    </row>
    <row r="739" spans="1:3">
      <c r="A739" s="146" t="e">
        <f>$C$1&amp;".E30A.REM.VAR.PBSEC.OS._INT.0_3_PERCT"</f>
        <v>#N/A</v>
      </c>
      <c r="B739" s="43">
        <f>ROUND(PAGE6!$G$19,5)</f>
        <v>0</v>
      </c>
      <c r="C739" s="43">
        <f>ROUND(PAGE6!$I$19,5)</f>
        <v>0</v>
      </c>
    </row>
    <row r="740" spans="1:3">
      <c r="A740" s="146" t="e">
        <f>$C$1&amp;".E30A.REM.ADJ.PBSEC.OS._INT.0_3_PERCT"</f>
        <v>#N/A</v>
      </c>
      <c r="B740" s="43">
        <f>ROUND(PAGE6!$K$19,5)</f>
        <v>0</v>
      </c>
      <c r="C740" s="43">
        <f>ROUND(PAGE6!$M$19,5)</f>
        <v>0</v>
      </c>
    </row>
    <row r="741" spans="1:3">
      <c r="A741" s="146" t="e">
        <f>$C$1&amp;".E30A.REM.PBSEC.OS._INT.0_3_PERCT.TTL"</f>
        <v>#N/A</v>
      </c>
      <c r="B741" s="43">
        <f>ROUND(PAGE6!$P$19,5)</f>
        <v>0</v>
      </c>
      <c r="C741" s="43">
        <f>ROUND(PAGE6!$R$19,5)</f>
        <v>0</v>
      </c>
    </row>
    <row r="742" spans="1:3">
      <c r="A742" s="146" t="e">
        <f>$C$1&amp;".E30A.REM.FR.PBSEC.OS._INT.3.1_4_PERCT"</f>
        <v>#N/A</v>
      </c>
      <c r="B742" s="43">
        <f>ROUND(PAGE6!$C$20,5)</f>
        <v>0</v>
      </c>
      <c r="C742" s="43">
        <f>ROUND(PAGE6!$E$20,5)</f>
        <v>0</v>
      </c>
    </row>
    <row r="743" spans="1:3">
      <c r="A743" s="146" t="e">
        <f>$C$1&amp;".E30A.REM.VAR.PBSEC.OS._INT.3.1_4_PERCT"</f>
        <v>#N/A</v>
      </c>
      <c r="B743" s="43">
        <f>ROUND(PAGE6!$G$20,5)</f>
        <v>0</v>
      </c>
      <c r="C743" s="43">
        <f>ROUND(PAGE6!$I$20,5)</f>
        <v>0</v>
      </c>
    </row>
    <row r="744" spans="1:3">
      <c r="A744" s="146" t="e">
        <f>$C$1&amp;".E30A.REM.ADJ.PBSEC.OS._INT.3.1_4_PERCT"</f>
        <v>#N/A</v>
      </c>
      <c r="B744" s="43">
        <f>ROUND(PAGE6!$K$20,5)</f>
        <v>0</v>
      </c>
      <c r="C744" s="43">
        <f>ROUND(PAGE6!$M$20,5)</f>
        <v>0</v>
      </c>
    </row>
    <row r="745" spans="1:3">
      <c r="A745" s="146" t="e">
        <f>$C$1&amp;".E30A.REM.PBSEC.OS._INT.3.1_4_PERCT.TTL"</f>
        <v>#N/A</v>
      </c>
      <c r="B745" s="43">
        <f>ROUND(PAGE6!$P$20,5)</f>
        <v>0</v>
      </c>
      <c r="C745" s="43">
        <f>ROUND(PAGE6!$R$20,5)</f>
        <v>0</v>
      </c>
    </row>
    <row r="746" spans="1:3">
      <c r="A746" s="146" t="e">
        <f>$C$1&amp;".E30A.REM.FR.PBSEC.OS._INT.4.1_5_PERCT"</f>
        <v>#N/A</v>
      </c>
      <c r="B746" s="43">
        <f>ROUND(PAGE6!$C$21,5)</f>
        <v>0</v>
      </c>
      <c r="C746" s="43">
        <f>ROUND(PAGE6!$E$21,5)</f>
        <v>0</v>
      </c>
    </row>
    <row r="747" spans="1:3">
      <c r="A747" s="146" t="e">
        <f>$C$1&amp;".E30A.REM.VAR.PBSEC.OS._INT.4.1_5_PERCT"</f>
        <v>#N/A</v>
      </c>
      <c r="B747" s="43">
        <f>ROUND(PAGE6!$G$21,5)</f>
        <v>0</v>
      </c>
      <c r="C747" s="43">
        <f>ROUND(PAGE6!$I$21,5)</f>
        <v>0</v>
      </c>
    </row>
    <row r="748" spans="1:3">
      <c r="A748" s="146" t="e">
        <f>$C$1&amp;".E30A.REM.ADJ.PBSEC.OS._INT.4.1_5_PERCT"</f>
        <v>#N/A</v>
      </c>
      <c r="B748" s="43">
        <f>ROUND(PAGE6!$K$21,5)</f>
        <v>0</v>
      </c>
      <c r="C748" s="43">
        <f>ROUND(PAGE6!$M$21,5)</f>
        <v>0</v>
      </c>
    </row>
    <row r="749" spans="1:3">
      <c r="A749" s="146" t="e">
        <f>$C$1&amp;".E30A.REM.PBSEC.OS._INT.4.1_5_PERCT.TTL"</f>
        <v>#N/A</v>
      </c>
      <c r="B749" s="43">
        <f>ROUND(PAGE6!$P$21,5)</f>
        <v>0</v>
      </c>
      <c r="C749" s="43">
        <f>ROUND(PAGE6!$R$21,5)</f>
        <v>0</v>
      </c>
    </row>
    <row r="750" spans="1:3">
      <c r="A750" s="146" t="e">
        <f>$C$1&amp;".E30A.REM.FR.PBSEC.OS._INT.5.1_6_PERCT"</f>
        <v>#N/A</v>
      </c>
      <c r="B750" s="43">
        <f>ROUND(PAGE6!$C$22,5)</f>
        <v>0</v>
      </c>
      <c r="C750" s="43">
        <f>ROUND(PAGE6!$E$22,5)</f>
        <v>0</v>
      </c>
    </row>
    <row r="751" spans="1:3">
      <c r="A751" s="146" t="e">
        <f>$C$1&amp;".E30A.REM.VAR.PBSEC.OS._INT.5.1_6_PERCT"</f>
        <v>#N/A</v>
      </c>
      <c r="B751" s="43">
        <f>ROUND(PAGE6!$G$22,5)</f>
        <v>0</v>
      </c>
      <c r="C751" s="43">
        <f>ROUND(PAGE6!$I$22,5)</f>
        <v>0</v>
      </c>
    </row>
    <row r="752" spans="1:3">
      <c r="A752" s="146" t="e">
        <f>$C$1&amp;".E30A.REM.ADJ.PBSEC.OS._INT.5.1_6_PERCT"</f>
        <v>#N/A</v>
      </c>
      <c r="B752" s="43">
        <f>ROUND(PAGE6!$K$22,5)</f>
        <v>0</v>
      </c>
      <c r="C752" s="43">
        <f>ROUND(PAGE6!$M$22,5)</f>
        <v>0</v>
      </c>
    </row>
    <row r="753" spans="1:3">
      <c r="A753" s="146" t="e">
        <f>$C$1&amp;".E30A.REM.PBSEC.OS._INT.5.1_6_PERCT.TTL"</f>
        <v>#N/A</v>
      </c>
      <c r="B753" s="43">
        <f>ROUND(PAGE6!$P$22,5)</f>
        <v>0</v>
      </c>
      <c r="C753" s="43">
        <f>ROUND(PAGE6!$R$22,5)</f>
        <v>0</v>
      </c>
    </row>
    <row r="754" spans="1:3">
      <c r="A754" s="146" t="e">
        <f>$C$1&amp;".E30A.REM.FR.PBSEC.OS._INT.6.1_7_PERCT"</f>
        <v>#N/A</v>
      </c>
      <c r="B754" s="43">
        <f>ROUND(PAGE6!$C$23,5)</f>
        <v>0</v>
      </c>
      <c r="C754" s="43">
        <f>ROUND(PAGE6!$E$23,5)</f>
        <v>0</v>
      </c>
    </row>
    <row r="755" spans="1:3">
      <c r="A755" s="146" t="e">
        <f>$C$1&amp;".E30A.REM.VAR.PBSEC.OS._INT.6.1_7_PERCT"</f>
        <v>#N/A</v>
      </c>
      <c r="B755" s="43">
        <f>ROUND(PAGE6!$G$23,5)</f>
        <v>0</v>
      </c>
      <c r="C755" s="43">
        <f>ROUND(PAGE6!$I$23,5)</f>
        <v>0</v>
      </c>
    </row>
    <row r="756" spans="1:3">
      <c r="A756" s="146" t="e">
        <f>$C$1&amp;".E30A.REM.ADJ.PBSEC.OS._INT.6.1_7_PERCT"</f>
        <v>#N/A</v>
      </c>
      <c r="B756" s="43">
        <f>ROUND(PAGE6!$K$23,5)</f>
        <v>0</v>
      </c>
      <c r="C756" s="43">
        <f>ROUND(PAGE6!$M$23,5)</f>
        <v>0</v>
      </c>
    </row>
    <row r="757" spans="1:3">
      <c r="A757" s="146" t="e">
        <f>$C$1&amp;".E30A.REM.PBSEC.OS._INT.6.1_7_PERCT.TTL"</f>
        <v>#N/A</v>
      </c>
      <c r="B757" s="43">
        <f>ROUND(PAGE6!$P$23,5)</f>
        <v>0</v>
      </c>
      <c r="C757" s="43">
        <f>ROUND(PAGE6!$R$23,5)</f>
        <v>0</v>
      </c>
    </row>
    <row r="758" spans="1:3">
      <c r="A758" s="146" t="e">
        <f>$C$1&amp;".E30A.REM.FR.PBSEC.OS._INT.7.1_8_PERCT"</f>
        <v>#N/A</v>
      </c>
      <c r="B758" s="43">
        <f>ROUND(PAGE6!$C$24,5)</f>
        <v>0</v>
      </c>
      <c r="C758" s="43">
        <f>ROUND(PAGE6!$E$24,5)</f>
        <v>0</v>
      </c>
    </row>
    <row r="759" spans="1:3">
      <c r="A759" s="146" t="e">
        <f>$C$1&amp;".E30A.REM.VAR.PBSEC.OS._INT.7.1_8_PERCT"</f>
        <v>#N/A</v>
      </c>
      <c r="B759" s="43">
        <f>ROUND(PAGE6!$G$24,5)</f>
        <v>0</v>
      </c>
      <c r="C759" s="43">
        <f>ROUND(PAGE6!$I$24,5)</f>
        <v>0</v>
      </c>
    </row>
    <row r="760" spans="1:3">
      <c r="A760" s="146" t="e">
        <f>$C$1&amp;".E30A.REM.ADJ.PBSEC.OS._INT.7.1_8_PERCT"</f>
        <v>#N/A</v>
      </c>
      <c r="B760" s="43">
        <f>ROUND(PAGE6!$K$24,5)</f>
        <v>0</v>
      </c>
      <c r="C760" s="43">
        <f>ROUND(PAGE6!$M$24,5)</f>
        <v>0</v>
      </c>
    </row>
    <row r="761" spans="1:3">
      <c r="A761" s="146" t="e">
        <f>$C$1&amp;".E30A.REM.PBSEC.OS._INT.7.1_8_PERCT.TTL"</f>
        <v>#N/A</v>
      </c>
      <c r="B761" s="43">
        <f>ROUND(PAGE6!$P$24,5)</f>
        <v>0</v>
      </c>
      <c r="C761" s="43">
        <f>ROUND(PAGE6!$R$24,5)</f>
        <v>0</v>
      </c>
    </row>
    <row r="762" spans="1:3">
      <c r="A762" s="146" t="e">
        <f>$C$1&amp;".E30A.REM.FR.PBSEC.OS._INT.8.1_9_PERCT"</f>
        <v>#N/A</v>
      </c>
      <c r="B762" s="43">
        <f>ROUND(PAGE6!$C$25,5)</f>
        <v>0</v>
      </c>
      <c r="C762" s="43">
        <f>ROUND(PAGE6!$E$25,5)</f>
        <v>0</v>
      </c>
    </row>
    <row r="763" spans="1:3">
      <c r="A763" s="146" t="e">
        <f>$C$1&amp;".E30A.REM.VAR.PBSEC.OS._INT.8.1_9_PERCT"</f>
        <v>#N/A</v>
      </c>
      <c r="B763" s="43">
        <f>ROUND(PAGE6!$G$25,5)</f>
        <v>0</v>
      </c>
      <c r="C763" s="43">
        <f>ROUND(PAGE6!$I$25,5)</f>
        <v>0</v>
      </c>
    </row>
    <row r="764" spans="1:3">
      <c r="A764" s="146" t="e">
        <f>$C$1&amp;".E30A.REM.ADJ.PBSEC.OS._INT.8.1_9_PERCT"</f>
        <v>#N/A</v>
      </c>
      <c r="B764" s="43">
        <f>ROUND(PAGE6!$K$25,5)</f>
        <v>0</v>
      </c>
      <c r="C764" s="43">
        <f>ROUND(PAGE6!$M$25,5)</f>
        <v>0</v>
      </c>
    </row>
    <row r="765" spans="1:3">
      <c r="A765" s="146" t="e">
        <f>$C$1&amp;".E30A.REM.PBSEC.OS._INT.8.1_9_PERCT.TTL"</f>
        <v>#N/A</v>
      </c>
      <c r="B765" s="43">
        <f>ROUND(PAGE6!$P$25,5)</f>
        <v>0</v>
      </c>
      <c r="C765" s="43">
        <f>ROUND(PAGE6!$R$25,5)</f>
        <v>0</v>
      </c>
    </row>
    <row r="766" spans="1:3">
      <c r="A766" s="146" t="e">
        <f>$C$1&amp;".E30A.REM.FR.PBSEC.OS._INT.9.1_10_PERCT"</f>
        <v>#N/A</v>
      </c>
      <c r="B766" s="43">
        <f>ROUND(PAGE6!$C$26,5)</f>
        <v>0</v>
      </c>
      <c r="C766" s="43">
        <f>ROUND(PAGE6!$E$26,5)</f>
        <v>0</v>
      </c>
    </row>
    <row r="767" spans="1:3">
      <c r="A767" s="146" t="e">
        <f>$C$1&amp;".E30A.REM.VAR.PBSEC.OS._INT.9.1_10_PERCT"</f>
        <v>#N/A</v>
      </c>
      <c r="B767" s="43">
        <f>ROUND(PAGE6!$G$26,5)</f>
        <v>0</v>
      </c>
      <c r="C767" s="43">
        <f>ROUND(PAGE6!$I$26,5)</f>
        <v>0</v>
      </c>
    </row>
    <row r="768" spans="1:3">
      <c r="A768" s="146" t="e">
        <f>$C$1&amp;".E30A.REM.ADJ.PBSEC.OS._INT.9.1_10_PERCT"</f>
        <v>#N/A</v>
      </c>
      <c r="B768" s="43">
        <f>ROUND(PAGE6!$K$26,5)</f>
        <v>0</v>
      </c>
      <c r="C768" s="43">
        <f>ROUND(PAGE6!$M$26,5)</f>
        <v>0</v>
      </c>
    </row>
    <row r="769" spans="1:3">
      <c r="A769" s="146" t="e">
        <f>$C$1&amp;".E30A.REM.PBSEC.OS._INT.9.1_10_PERCT.TTL"</f>
        <v>#N/A</v>
      </c>
      <c r="B769" s="43">
        <f>ROUND(PAGE6!$P$26,5)</f>
        <v>0</v>
      </c>
      <c r="C769" s="43">
        <f>ROUND(PAGE6!$R$26,5)</f>
        <v>0</v>
      </c>
    </row>
    <row r="770" spans="1:3">
      <c r="A770" s="146" t="e">
        <f>$C$1&amp;".E30A.REM.FR.PBSEC.OS._INT.10.1_11_PERCT"</f>
        <v>#N/A</v>
      </c>
      <c r="B770" s="43">
        <f>ROUND(PAGE6!$C$27,5)</f>
        <v>0</v>
      </c>
      <c r="C770" s="43">
        <f>ROUND(PAGE6!$E$27,5)</f>
        <v>0</v>
      </c>
    </row>
    <row r="771" spans="1:3">
      <c r="A771" s="146" t="e">
        <f>$C$1&amp;".E30A.REM.VAR.PBSEC.OS._INT.10.1_11_PERCT"</f>
        <v>#N/A</v>
      </c>
      <c r="B771" s="43">
        <f>ROUND(PAGE6!$G$27,5)</f>
        <v>0</v>
      </c>
      <c r="C771" s="43">
        <f>ROUND(PAGE6!$I$27,5)</f>
        <v>0</v>
      </c>
    </row>
    <row r="772" spans="1:3">
      <c r="A772" s="146" t="e">
        <f>$C$1&amp;".E30A.REM.ADJ.PBSEC.OS._INT.10.1_11_PERCT"</f>
        <v>#N/A</v>
      </c>
      <c r="B772" s="43">
        <f>ROUND(PAGE6!$K$27,5)</f>
        <v>0</v>
      </c>
      <c r="C772" s="43">
        <f>ROUND(PAGE6!$M$27,5)</f>
        <v>0</v>
      </c>
    </row>
    <row r="773" spans="1:3">
      <c r="A773" s="146" t="e">
        <f>$C$1&amp;".E30A.REM.PBSEC.OS._INT.10.1_11_PERCT.TTL"</f>
        <v>#N/A</v>
      </c>
      <c r="B773" s="43">
        <f>ROUND(PAGE6!$P$27,5)</f>
        <v>0</v>
      </c>
      <c r="C773" s="43">
        <f>ROUND(PAGE6!$R$27,5)</f>
        <v>0</v>
      </c>
    </row>
    <row r="774" spans="1:3">
      <c r="A774" s="146" t="e">
        <f>$C$1&amp;".E30A.REM.FR.PBSEC.OS._INT.11.1_12_PERCT"</f>
        <v>#N/A</v>
      </c>
      <c r="B774" s="43">
        <f>ROUND(PAGE6!$C$28,5)</f>
        <v>0</v>
      </c>
      <c r="C774" s="43">
        <f>ROUND(PAGE6!$E$28,5)</f>
        <v>0</v>
      </c>
    </row>
    <row r="775" spans="1:3">
      <c r="A775" s="146" t="e">
        <f>$C$1&amp;".E30A.REM.VAR.PBSEC.OS._INT.11.1_12_PERCT"</f>
        <v>#N/A</v>
      </c>
      <c r="B775" s="43">
        <f>ROUND(PAGE6!$G$28,5)</f>
        <v>0</v>
      </c>
      <c r="C775" s="43">
        <f>ROUND(PAGE6!$I$28,5)</f>
        <v>0</v>
      </c>
    </row>
    <row r="776" spans="1:3">
      <c r="A776" s="146" t="e">
        <f>$C$1&amp;".E30A.REM.ADJ.PBSEC.OS._INT.11.1_12_PERCT"</f>
        <v>#N/A</v>
      </c>
      <c r="B776" s="43">
        <f>ROUND(PAGE6!$K$28,5)</f>
        <v>0</v>
      </c>
      <c r="C776" s="43">
        <f>ROUND(PAGE6!$M$28,5)</f>
        <v>0</v>
      </c>
    </row>
    <row r="777" spans="1:3">
      <c r="A777" s="146" t="e">
        <f>$C$1&amp;".E30A.REM.PBSEC.OS._INT.11.1_12_PERCT.TTL"</f>
        <v>#N/A</v>
      </c>
      <c r="B777" s="43">
        <f>ROUND(PAGE6!$P$28,5)</f>
        <v>0</v>
      </c>
      <c r="C777" s="43">
        <f>ROUND(PAGE6!$R$28,5)</f>
        <v>0</v>
      </c>
    </row>
    <row r="778" spans="1:3">
      <c r="A778" s="146" t="e">
        <f>$C$1&amp;".E30A.REM.FR.PBSEC.OS._INT.12.1_13_PERCT"</f>
        <v>#N/A</v>
      </c>
      <c r="B778" s="43">
        <f>ROUND(PAGE6!$C$29,5)</f>
        <v>0</v>
      </c>
      <c r="C778" s="43">
        <f>ROUND(PAGE6!$E$29,5)</f>
        <v>0</v>
      </c>
    </row>
    <row r="779" spans="1:3">
      <c r="A779" s="146" t="e">
        <f>$C$1&amp;".E30A.REM.VAR.PBSEC.OS._INT.12.1_13_PERCT"</f>
        <v>#N/A</v>
      </c>
      <c r="B779" s="43">
        <f>ROUND(PAGE6!$G$29,5)</f>
        <v>0</v>
      </c>
      <c r="C779" s="43">
        <f>ROUND(PAGE6!$I$29,5)</f>
        <v>0</v>
      </c>
    </row>
    <row r="780" spans="1:3">
      <c r="A780" s="146" t="e">
        <f>$C$1&amp;".E30A.REM.ADJ.PBSEC.OS._INT.12.1_13_PERCT"</f>
        <v>#N/A</v>
      </c>
      <c r="B780" s="43">
        <f>ROUND(PAGE6!$K$29,5)</f>
        <v>0</v>
      </c>
      <c r="C780" s="43">
        <f>ROUND(PAGE6!$M$29,5)</f>
        <v>0</v>
      </c>
    </row>
    <row r="781" spans="1:3">
      <c r="A781" s="146" t="e">
        <f>$C$1&amp;".E30A.REM.PBSEC.OS._INT.12.1_13_PERCT.TTL"</f>
        <v>#N/A</v>
      </c>
      <c r="B781" s="43">
        <f>ROUND(PAGE6!$P$29,5)</f>
        <v>0</v>
      </c>
      <c r="C781" s="43">
        <f>ROUND(PAGE6!$R$29,5)</f>
        <v>0</v>
      </c>
    </row>
    <row r="782" spans="1:3">
      <c r="A782" s="146" t="e">
        <f>$C$1&amp;".E30A.REM.FR.PBSEC.OS._INT.13.1_14_PERCT"</f>
        <v>#N/A</v>
      </c>
      <c r="B782" s="43">
        <f>ROUND(PAGE6!$C$30,5)</f>
        <v>0</v>
      </c>
      <c r="C782" s="43">
        <f>ROUND(PAGE6!$E$30,5)</f>
        <v>0</v>
      </c>
    </row>
    <row r="783" spans="1:3">
      <c r="A783" s="146" t="e">
        <f>$C$1&amp;".E30A.REM.VAR.PBSEC.OS._INT.13.1_14_PERCT"</f>
        <v>#N/A</v>
      </c>
      <c r="B783" s="43">
        <f>ROUND(PAGE6!$G$30,5)</f>
        <v>0</v>
      </c>
      <c r="C783" s="43">
        <f>ROUND(PAGE6!$I$30,5)</f>
        <v>0</v>
      </c>
    </row>
    <row r="784" spans="1:3">
      <c r="A784" s="146" t="e">
        <f>$C$1&amp;".E30A.REM.ADJ.PBSEC.OS._INT.13.1_14_PERCT"</f>
        <v>#N/A</v>
      </c>
      <c r="B784" s="43">
        <f>ROUND(PAGE6!$K$30,5)</f>
        <v>0</v>
      </c>
      <c r="C784" s="43">
        <f>ROUND(PAGE6!$M$30,5)</f>
        <v>0</v>
      </c>
    </row>
    <row r="785" spans="1:3">
      <c r="A785" s="146" t="e">
        <f>$C$1&amp;".E30A.REM.PBSEC.OS._INT.13.1_14_PERCT.TTL"</f>
        <v>#N/A</v>
      </c>
      <c r="B785" s="43">
        <f>ROUND(PAGE6!$P$30,5)</f>
        <v>0</v>
      </c>
      <c r="C785" s="43">
        <f>ROUND(PAGE6!$R$30,5)</f>
        <v>0</v>
      </c>
    </row>
    <row r="786" spans="1:3">
      <c r="A786" s="146" t="e">
        <f>$C$1&amp;".E30A.REM.FR.PBSEC.OS._INT.14.1_15_PERCT"</f>
        <v>#N/A</v>
      </c>
      <c r="B786" s="43">
        <f>ROUND(PAGE6!$C$31,5)</f>
        <v>0</v>
      </c>
      <c r="C786" s="43">
        <f>ROUND(PAGE6!$E$31,5)</f>
        <v>0</v>
      </c>
    </row>
    <row r="787" spans="1:3">
      <c r="A787" s="146" t="e">
        <f>$C$1&amp;".E30A.REM.VAR.PBSEC.OS._INT.14.1_15_PERCT"</f>
        <v>#N/A</v>
      </c>
      <c r="B787" s="43">
        <f>ROUND(PAGE6!$G$31,5)</f>
        <v>0</v>
      </c>
      <c r="C787" s="43">
        <f>ROUND(PAGE6!$I$31,5)</f>
        <v>0</v>
      </c>
    </row>
    <row r="788" spans="1:3">
      <c r="A788" s="146" t="e">
        <f>$C$1&amp;".E30A.REM.ADJ.PBSEC.OS._INT.14.1_15_PERCT"</f>
        <v>#N/A</v>
      </c>
      <c r="B788" s="43">
        <f>ROUND(PAGE6!$K$31,5)</f>
        <v>0</v>
      </c>
      <c r="C788" s="43">
        <f>ROUND(PAGE6!$M$31,5)</f>
        <v>0</v>
      </c>
    </row>
    <row r="789" spans="1:3">
      <c r="A789" s="146" t="e">
        <f>$C$1&amp;".E30A.REM.PBSEC.OS._INT.14.1_15_PERCT.TTL"</f>
        <v>#N/A</v>
      </c>
      <c r="B789" s="43">
        <f>ROUND(PAGE6!$P$31,5)</f>
        <v>0</v>
      </c>
      <c r="C789" s="43">
        <f>ROUND(PAGE6!$R$31,5)</f>
        <v>0</v>
      </c>
    </row>
    <row r="790" spans="1:3">
      <c r="A790" s="146" t="e">
        <f>$C$1&amp;".E30A.REM.FR.PBSEC.OS._INT.OVR_15.1_PERCT"</f>
        <v>#N/A</v>
      </c>
      <c r="B790" s="43">
        <f>ROUND(PAGE6!$C$32,5)</f>
        <v>0</v>
      </c>
      <c r="C790" s="43">
        <f>ROUND(PAGE6!$E$32,5)</f>
        <v>0</v>
      </c>
    </row>
    <row r="791" spans="1:3">
      <c r="A791" s="146" t="e">
        <f>$C$1&amp;".E30A.REM.VAR.PBSEC.OS._INT.OVR_15.1_PERCT"</f>
        <v>#N/A</v>
      </c>
      <c r="B791" s="43">
        <f>ROUND(PAGE6!$G$32,5)</f>
        <v>0</v>
      </c>
      <c r="C791" s="43">
        <f>ROUND(PAGE6!$I$32,5)</f>
        <v>0</v>
      </c>
    </row>
    <row r="792" spans="1:3">
      <c r="A792" s="146" t="e">
        <f>$C$1&amp;".E30A.REM.ADJ.PBSEC.OS._INT.OVR_15.1_PERCT"</f>
        <v>#N/A</v>
      </c>
      <c r="B792" s="43">
        <f>ROUND(PAGE6!$K$32,5)</f>
        <v>0</v>
      </c>
      <c r="C792" s="43">
        <f>ROUND(PAGE6!$M$32,5)</f>
        <v>0</v>
      </c>
    </row>
    <row r="793" spans="1:3">
      <c r="A793" s="146" t="e">
        <f>$C$1&amp;".E30A.REM.PBSEC.OS._INT.OVR_15.1_PERCT.TTL"</f>
        <v>#N/A</v>
      </c>
      <c r="B793" s="43">
        <f>ROUND(PAGE6!$P$32,5)</f>
        <v>0</v>
      </c>
      <c r="C793" s="43">
        <f>ROUND(PAGE6!$R$32,5)</f>
        <v>0</v>
      </c>
    </row>
    <row r="794" spans="1:3">
      <c r="A794" s="146" t="e">
        <f>$C$1&amp;".E30A.REM.PBSEC.OS.TTL."</f>
        <v>#N/A</v>
      </c>
      <c r="B794" s="43">
        <f>ROUND(PAGE6!P34,5)</f>
        <v>0</v>
      </c>
      <c r="C794" s="43">
        <f>ROUND(PAGE6!R34,5)</f>
        <v>0</v>
      </c>
    </row>
    <row r="795" spans="1:3">
      <c r="A795" s="146" t="e">
        <f>$C$1&amp;".E30A.REM.FR.PVFIN.OS._INT.0_3_PERCT"</f>
        <v>#N/A</v>
      </c>
      <c r="B795" s="43">
        <f>ROUND(PAGE6!$C$38,5)</f>
        <v>0</v>
      </c>
      <c r="C795" s="43">
        <f>ROUND(PAGE6!$E$38,5)</f>
        <v>0</v>
      </c>
    </row>
    <row r="796" spans="1:3">
      <c r="A796" s="146" t="e">
        <f>$C$1&amp;".E30A.REM.VAR.PVFIN.OS._INT.0_3_PERCT"</f>
        <v>#N/A</v>
      </c>
      <c r="B796" s="43">
        <f>ROUND(PAGE6!$G$38,5)</f>
        <v>0</v>
      </c>
      <c r="C796" s="43">
        <f>ROUND(PAGE6!$I$38,5)</f>
        <v>0</v>
      </c>
    </row>
    <row r="797" spans="1:3">
      <c r="A797" s="146" t="e">
        <f>$C$1&amp;".E30A.REM.ADJ.PVFIN.OS._INT.0_3_PERCT"</f>
        <v>#N/A</v>
      </c>
      <c r="B797" s="43">
        <f>ROUND(PAGE6!$K$38,5)</f>
        <v>0</v>
      </c>
      <c r="C797" s="43">
        <f>ROUND(PAGE6!$M$38,5)</f>
        <v>0</v>
      </c>
    </row>
    <row r="798" spans="1:3">
      <c r="A798" s="146" t="e">
        <f>$C$1&amp;".E30A.REM.PVFIN.OS._INT.0_3_PERCT.TTL"</f>
        <v>#N/A</v>
      </c>
      <c r="B798" s="43">
        <f>ROUND(PAGE6!$P$38,5)</f>
        <v>0</v>
      </c>
      <c r="C798" s="43">
        <f>ROUND(PAGE6!$R$38,5)</f>
        <v>0</v>
      </c>
    </row>
    <row r="799" spans="1:3">
      <c r="A799" s="146" t="e">
        <f>$C$1&amp;".E30A.REM.FR.PVFIN.OS._INT.3.1_4_PERCT"</f>
        <v>#N/A</v>
      </c>
      <c r="B799" s="43">
        <f>ROUND(PAGE6!$C$39,5)</f>
        <v>0</v>
      </c>
      <c r="C799" s="43">
        <f>ROUND(PAGE6!$E$39,5)</f>
        <v>0</v>
      </c>
    </row>
    <row r="800" spans="1:3">
      <c r="A800" s="146" t="e">
        <f>$C$1&amp;".E30A.REM.VAR.PVFIN.OS._INT.3.1_4_PERCT"</f>
        <v>#N/A</v>
      </c>
      <c r="B800" s="43">
        <f>ROUND(PAGE6!$G$39,5)</f>
        <v>0</v>
      </c>
      <c r="C800" s="43">
        <f>ROUND(PAGE6!$I$39,5)</f>
        <v>0</v>
      </c>
    </row>
    <row r="801" spans="1:3">
      <c r="A801" s="146" t="e">
        <f>$C$1&amp;".E30A.REM.ADJ.PVFIN.OS._INT.3.1_4_PERCT"</f>
        <v>#N/A</v>
      </c>
      <c r="B801" s="43">
        <f>ROUND(PAGE6!$K$39,5)</f>
        <v>0</v>
      </c>
      <c r="C801" s="43">
        <f>ROUND(PAGE6!$M$39,5)</f>
        <v>0</v>
      </c>
    </row>
    <row r="802" spans="1:3">
      <c r="A802" s="146" t="e">
        <f>$C$1&amp;".E30A.REM.PVFIN.OS._INT.3.1_4_PERCT.TTL"</f>
        <v>#N/A</v>
      </c>
      <c r="B802" s="43">
        <f>ROUND(PAGE6!$P$39,5)</f>
        <v>0</v>
      </c>
      <c r="C802" s="43">
        <f>ROUND(PAGE6!$R$39,5)</f>
        <v>0</v>
      </c>
    </row>
    <row r="803" spans="1:3">
      <c r="A803" s="146" t="e">
        <f>$C$1&amp;".E30A.REM.FR.PVFIN.OS._INT.4.1_5_PERCT"</f>
        <v>#N/A</v>
      </c>
      <c r="B803" s="43">
        <f>ROUND(PAGE6!$C$40,5)</f>
        <v>0</v>
      </c>
      <c r="C803" s="43">
        <f>ROUND(PAGE6!$E$40,5)</f>
        <v>0</v>
      </c>
    </row>
    <row r="804" spans="1:3">
      <c r="A804" s="146" t="e">
        <f>$C$1&amp;".E30A.REM.VAR.PVFIN.OS._INT.4.1_5_PERCT"</f>
        <v>#N/A</v>
      </c>
      <c r="B804" s="43">
        <f>ROUND(PAGE6!$G$40,5)</f>
        <v>0</v>
      </c>
      <c r="C804" s="43">
        <f>ROUND(PAGE6!$I$40,5)</f>
        <v>0</v>
      </c>
    </row>
    <row r="805" spans="1:3">
      <c r="A805" s="146" t="e">
        <f>$C$1&amp;".E30A.REM.ADJ.PVFIN.OS._INT.4.1_5_PERCT"</f>
        <v>#N/A</v>
      </c>
      <c r="B805" s="43">
        <f>ROUND(PAGE6!$K$40,5)</f>
        <v>0</v>
      </c>
      <c r="C805" s="43">
        <f>ROUND(PAGE6!$M$40,5)</f>
        <v>0</v>
      </c>
    </row>
    <row r="806" spans="1:3">
      <c r="A806" s="146" t="e">
        <f>$C$1&amp;".E30A.REM.PVFIN.OS._INT.4.1_5_PERCT.TTL"</f>
        <v>#N/A</v>
      </c>
      <c r="B806" s="43">
        <f>ROUND(PAGE6!$P$40,5)</f>
        <v>0</v>
      </c>
      <c r="C806" s="43">
        <f>ROUND(PAGE6!$R$40,5)</f>
        <v>0</v>
      </c>
    </row>
    <row r="807" spans="1:3">
      <c r="A807" s="146" t="e">
        <f>$C$1&amp;".E30A.REM.FR.PVFIN.OS._INT.5.1_6_PERCT"</f>
        <v>#N/A</v>
      </c>
      <c r="B807" s="43">
        <f>ROUND(PAGE6!$C$41,5)</f>
        <v>0</v>
      </c>
      <c r="C807" s="43">
        <f>ROUND(PAGE6!$E$41,5)</f>
        <v>0</v>
      </c>
    </row>
    <row r="808" spans="1:3">
      <c r="A808" s="146" t="e">
        <f>$C$1&amp;".E30A.REM.VAR.PVFIN.OS._INT.5.1_6_PERCT"</f>
        <v>#N/A</v>
      </c>
      <c r="B808" s="43">
        <f>ROUND(PAGE6!$G$41,5)</f>
        <v>0</v>
      </c>
      <c r="C808" s="43">
        <f>ROUND(PAGE6!$I$41,5)</f>
        <v>0</v>
      </c>
    </row>
    <row r="809" spans="1:3">
      <c r="A809" s="146" t="e">
        <f>$C$1&amp;".E30A.REM.ADJ.PVFIN.OS._INT.5.1_6_PERCT"</f>
        <v>#N/A</v>
      </c>
      <c r="B809" s="43">
        <f>ROUND(PAGE6!$K$41,5)</f>
        <v>0</v>
      </c>
      <c r="C809" s="43">
        <f>ROUND(PAGE6!$M$41,5)</f>
        <v>0</v>
      </c>
    </row>
    <row r="810" spans="1:3">
      <c r="A810" s="146" t="e">
        <f>$C$1&amp;".E30A.REM.PVFIN.OS._INT.5.1_6_PERCT.TTL"</f>
        <v>#N/A</v>
      </c>
      <c r="B810" s="43">
        <f>ROUND(PAGE6!$P$41,5)</f>
        <v>0</v>
      </c>
      <c r="C810" s="43">
        <f>ROUND(PAGE6!$R$41,5)</f>
        <v>0</v>
      </c>
    </row>
    <row r="811" spans="1:3">
      <c r="A811" s="146" t="e">
        <f>$C$1&amp;".E30A.REM.FR.PVFIN.OS._INT.6.1_7_PERCT"</f>
        <v>#N/A</v>
      </c>
      <c r="B811" s="43">
        <f>ROUND(PAGE6!$C$42,5)</f>
        <v>0</v>
      </c>
      <c r="C811" s="43">
        <f>ROUND(PAGE6!$E$42,5)</f>
        <v>0</v>
      </c>
    </row>
    <row r="812" spans="1:3">
      <c r="A812" s="146" t="e">
        <f>$C$1&amp;".E30A.REM.VAR.PVFIN.OS._INT.6.1_7_PERCT"</f>
        <v>#N/A</v>
      </c>
      <c r="B812" s="43">
        <f>ROUND(PAGE6!$G$42,5)</f>
        <v>0</v>
      </c>
      <c r="C812" s="43">
        <f>ROUND(PAGE6!$I$42,5)</f>
        <v>0</v>
      </c>
    </row>
    <row r="813" spans="1:3">
      <c r="A813" s="146" t="e">
        <f>$C$1&amp;".E30A.REM.ADJ.PVFIN.OS._INT.6.1_7_PERCT"</f>
        <v>#N/A</v>
      </c>
      <c r="B813" s="43">
        <f>ROUND(PAGE6!$K$42,5)</f>
        <v>0</v>
      </c>
      <c r="C813" s="43">
        <f>ROUND(PAGE6!$M$42,5)</f>
        <v>0</v>
      </c>
    </row>
    <row r="814" spans="1:3">
      <c r="A814" s="146" t="e">
        <f>$C$1&amp;".E30A.REM.PVFIN.OS._INT.6.1_7_PERCT.TTL"</f>
        <v>#N/A</v>
      </c>
      <c r="B814" s="43">
        <f>ROUND(PAGE6!$P$42,5)</f>
        <v>0</v>
      </c>
      <c r="C814" s="43">
        <f>ROUND(PAGE6!$R$42,5)</f>
        <v>0</v>
      </c>
    </row>
    <row r="815" spans="1:3">
      <c r="A815" s="146" t="e">
        <f>$C$1&amp;".E30A.REM.FR.PVFIN.OS._INT.7.1_8_PERCT"</f>
        <v>#N/A</v>
      </c>
      <c r="B815" s="43">
        <f>ROUND(PAGE6!$C$43,5)</f>
        <v>0</v>
      </c>
      <c r="C815" s="43">
        <f>ROUND(PAGE6!$E$43,5)</f>
        <v>0</v>
      </c>
    </row>
    <row r="816" spans="1:3">
      <c r="A816" s="146" t="e">
        <f>$C$1&amp;".E30A.REM.VAR.PVFIN.OS._INT.7.1_8_PERCT"</f>
        <v>#N/A</v>
      </c>
      <c r="B816" s="43">
        <f>ROUND(PAGE6!$G$43,5)</f>
        <v>0</v>
      </c>
      <c r="C816" s="43">
        <f>ROUND(PAGE6!$I$43,5)</f>
        <v>0</v>
      </c>
    </row>
    <row r="817" spans="1:3">
      <c r="A817" s="146" t="e">
        <f>$C$1&amp;".E30A.REM.ADJ.PVFIN.OS._INT.7.1_8_PERCT"</f>
        <v>#N/A</v>
      </c>
      <c r="B817" s="43">
        <f>ROUND(PAGE6!$K$43,5)</f>
        <v>0</v>
      </c>
      <c r="C817" s="43">
        <f>ROUND(PAGE6!$M$43,5)</f>
        <v>0</v>
      </c>
    </row>
    <row r="818" spans="1:3">
      <c r="A818" s="146" t="e">
        <f>$C$1&amp;".E30A.REM.PVFIN.OS._INT.7.1_8_PERCT.TTL"</f>
        <v>#N/A</v>
      </c>
      <c r="B818" s="43">
        <f>ROUND(PAGE6!$P$43,5)</f>
        <v>0</v>
      </c>
      <c r="C818" s="43">
        <f>ROUND(PAGE6!$R$43,5)</f>
        <v>0</v>
      </c>
    </row>
    <row r="819" spans="1:3">
      <c r="A819" s="146" t="e">
        <f>$C$1&amp;".E30A.REM.FR.PVFIN.OS._INT.8.1_9_PERCT"</f>
        <v>#N/A</v>
      </c>
      <c r="B819" s="43">
        <f>ROUND(PAGE6!$C$44,5)</f>
        <v>0</v>
      </c>
      <c r="C819" s="43">
        <f>ROUND(PAGE6!$E$44,5)</f>
        <v>0</v>
      </c>
    </row>
    <row r="820" spans="1:3">
      <c r="A820" s="146" t="e">
        <f>$C$1&amp;".E30A.REM.VAR.PVFIN.OS._INT.8.1_9_PERCT"</f>
        <v>#N/A</v>
      </c>
      <c r="B820" s="43">
        <f>ROUND(PAGE6!$G$44,5)</f>
        <v>0</v>
      </c>
      <c r="C820" s="43">
        <f>ROUND(PAGE6!$I$44,5)</f>
        <v>0</v>
      </c>
    </row>
    <row r="821" spans="1:3">
      <c r="A821" s="146" t="e">
        <f>$C$1&amp;".E30A.REM.ADJ.PVFIN.OS._INT.8.1_9_PERCT"</f>
        <v>#N/A</v>
      </c>
      <c r="B821" s="43">
        <f>ROUND(PAGE6!$K$44,5)</f>
        <v>0</v>
      </c>
      <c r="C821" s="43">
        <f>ROUND(PAGE6!$M$44,5)</f>
        <v>0</v>
      </c>
    </row>
    <row r="822" spans="1:3">
      <c r="A822" s="146" t="e">
        <f>$C$1&amp;".E30A.REM.PVFIN.OS._INT.8.1_9_PERCT.TTL"</f>
        <v>#N/A</v>
      </c>
      <c r="B822" s="43">
        <f>ROUND(PAGE6!$P$44,5)</f>
        <v>0</v>
      </c>
      <c r="C822" s="43">
        <f>ROUND(PAGE6!$R$44,5)</f>
        <v>0</v>
      </c>
    </row>
    <row r="823" spans="1:3">
      <c r="A823" s="146" t="e">
        <f>$C$1&amp;".E30A.REM.FR.PVFIN.OS._INT.9.1_10_PERCT"</f>
        <v>#N/A</v>
      </c>
      <c r="B823" s="43">
        <f>ROUND(PAGE6!$C$45,5)</f>
        <v>0</v>
      </c>
      <c r="C823" s="43">
        <f>ROUND(PAGE6!$E$45,5)</f>
        <v>0</v>
      </c>
    </row>
    <row r="824" spans="1:3">
      <c r="A824" s="146" t="e">
        <f>$C$1&amp;".E30A.REM.VAR.PVFIN.OS._INT.9.1_10_PERCT"</f>
        <v>#N/A</v>
      </c>
      <c r="B824" s="43">
        <f>ROUND(PAGE6!$G$45,5)</f>
        <v>0</v>
      </c>
      <c r="C824" s="43">
        <f>ROUND(PAGE6!$I$45,5)</f>
        <v>0</v>
      </c>
    </row>
    <row r="825" spans="1:3">
      <c r="A825" s="146" t="e">
        <f>$C$1&amp;".E30A.REM.ADJ.PVFIN.OS._INT.9.1_10_PERCT"</f>
        <v>#N/A</v>
      </c>
      <c r="B825" s="43">
        <f>ROUND(PAGE6!$K$45,5)</f>
        <v>0</v>
      </c>
      <c r="C825" s="43">
        <f>ROUND(PAGE6!$M$45,5)</f>
        <v>0</v>
      </c>
    </row>
    <row r="826" spans="1:3">
      <c r="A826" s="146" t="e">
        <f>$C$1&amp;".E30A.REM.PVFIN.OS._INT.9.1_10_PERCT.TTL"</f>
        <v>#N/A</v>
      </c>
      <c r="B826" s="43">
        <f>ROUND(PAGE6!$P$45,5)</f>
        <v>0</v>
      </c>
      <c r="C826" s="43">
        <f>ROUND(PAGE6!$R$45,5)</f>
        <v>0</v>
      </c>
    </row>
    <row r="827" spans="1:3">
      <c r="A827" s="146" t="e">
        <f>$C$1&amp;".E30A.REM.FR.PVFIN.OS._INT.10.1_11_PERCT"</f>
        <v>#N/A</v>
      </c>
      <c r="B827" s="43">
        <f>ROUND(PAGE6!$C$46,5)</f>
        <v>0</v>
      </c>
      <c r="C827" s="43">
        <f>ROUND(PAGE6!$E$46,5)</f>
        <v>0</v>
      </c>
    </row>
    <row r="828" spans="1:3">
      <c r="A828" s="146" t="e">
        <f>$C$1&amp;".E30A.REM.VAR.PVFIN.OS._INT.10.1_11_PERCT"</f>
        <v>#N/A</v>
      </c>
      <c r="B828" s="43">
        <f>ROUND(PAGE6!$G$46,5)</f>
        <v>0</v>
      </c>
      <c r="C828" s="43">
        <f>ROUND(PAGE6!$I$46,5)</f>
        <v>0</v>
      </c>
    </row>
    <row r="829" spans="1:3">
      <c r="A829" s="146" t="e">
        <f>$C$1&amp;".E30A.REM.ADJ.PVFIN.OS._INT.10.1_11_PERCT"</f>
        <v>#N/A</v>
      </c>
      <c r="B829" s="43">
        <f>ROUND(PAGE6!$K$46,5)</f>
        <v>0</v>
      </c>
      <c r="C829" s="43">
        <f>ROUND(PAGE6!$M$46,5)</f>
        <v>0</v>
      </c>
    </row>
    <row r="830" spans="1:3">
      <c r="A830" s="146" t="e">
        <f>$C$1&amp;".E30A.REM.PVFIN.OS._INT.10.1_11_PERCT.TTL"</f>
        <v>#N/A</v>
      </c>
      <c r="B830" s="43">
        <f>ROUND(PAGE6!$P$46,5)</f>
        <v>0</v>
      </c>
      <c r="C830" s="43">
        <f>ROUND(PAGE6!$R$46,5)</f>
        <v>0</v>
      </c>
    </row>
    <row r="831" spans="1:3">
      <c r="A831" s="146" t="e">
        <f>$C$1&amp;".E30A.REM.FR.PVFIN.OS._INT.11.1_12_PERCT"</f>
        <v>#N/A</v>
      </c>
      <c r="B831" s="43">
        <f>ROUND(PAGE6!$C$47,5)</f>
        <v>0</v>
      </c>
      <c r="C831" s="43">
        <f>ROUND(PAGE6!$E$47,5)</f>
        <v>0</v>
      </c>
    </row>
    <row r="832" spans="1:3">
      <c r="A832" s="146" t="e">
        <f>$C$1&amp;".E30A.REM.VAR.PVFIN.OS._INT.11.1_12_PERCT"</f>
        <v>#N/A</v>
      </c>
      <c r="B832" s="43">
        <f>ROUND(PAGE6!$G$47,5)</f>
        <v>0</v>
      </c>
      <c r="C832" s="43">
        <f>ROUND(PAGE6!$I$47,5)</f>
        <v>0</v>
      </c>
    </row>
    <row r="833" spans="1:3">
      <c r="A833" s="146" t="e">
        <f>$C$1&amp;".E30A.REM.ADJ.PVFIN.OS._INT.11.1_12_PERCT"</f>
        <v>#N/A</v>
      </c>
      <c r="B833" s="43">
        <f>ROUND(PAGE6!$K$47,5)</f>
        <v>0</v>
      </c>
      <c r="C833" s="43">
        <f>ROUND(PAGE6!$M$47,5)</f>
        <v>0</v>
      </c>
    </row>
    <row r="834" spans="1:3">
      <c r="A834" s="146" t="e">
        <f>$C$1&amp;".E30A.REM.PVFIN.OS._INT.11.1_12_PERCT.TTL"</f>
        <v>#N/A</v>
      </c>
      <c r="B834" s="43">
        <f>ROUND(PAGE6!$P$47,5)</f>
        <v>0</v>
      </c>
      <c r="C834" s="43">
        <f>ROUND(PAGE6!$R$47,5)</f>
        <v>0</v>
      </c>
    </row>
    <row r="835" spans="1:3">
      <c r="A835" s="146" t="e">
        <f>$C$1&amp;".E30A.REM.FR.PVFIN.OS._INT.12.1_13_PERCT"</f>
        <v>#N/A</v>
      </c>
      <c r="B835" s="43">
        <f>ROUND(PAGE6!$C$48,5)</f>
        <v>0</v>
      </c>
      <c r="C835" s="43">
        <f>ROUND(PAGE6!$E$48,5)</f>
        <v>0</v>
      </c>
    </row>
    <row r="836" spans="1:3">
      <c r="A836" s="146" t="e">
        <f>$C$1&amp;".E30A.REM.VAR.PVFIN.OS._INT.12.1_13_PERCT"</f>
        <v>#N/A</v>
      </c>
      <c r="B836" s="43">
        <f>ROUND(PAGE6!$G$48,5)</f>
        <v>0</v>
      </c>
      <c r="C836" s="43">
        <f>ROUND(PAGE6!$I$48,5)</f>
        <v>0</v>
      </c>
    </row>
    <row r="837" spans="1:3">
      <c r="A837" s="146" t="e">
        <f>$C$1&amp;".E30A.REM.ADJ.PVFIN.OS._INT.12.1_13_PERCT"</f>
        <v>#N/A</v>
      </c>
      <c r="B837" s="43">
        <f>ROUND(PAGE6!$K$48,5)</f>
        <v>0</v>
      </c>
      <c r="C837" s="43">
        <f>ROUND(PAGE6!$M$48,5)</f>
        <v>0</v>
      </c>
    </row>
    <row r="838" spans="1:3">
      <c r="A838" s="146" t="e">
        <f>$C$1&amp;".E30A.REM.PVFIN.OS._INT.12.1_13_PERCT.TTL"</f>
        <v>#N/A</v>
      </c>
      <c r="B838" s="43">
        <f>ROUND(PAGE6!$P$48,5)</f>
        <v>0</v>
      </c>
      <c r="C838" s="43">
        <f>ROUND(PAGE6!$R$48,5)</f>
        <v>0</v>
      </c>
    </row>
    <row r="839" spans="1:3">
      <c r="A839" s="146" t="e">
        <f>$C$1&amp;".E30A.REM.FR.PVFIN.OS._INT.13.1_14_PERCT"</f>
        <v>#N/A</v>
      </c>
      <c r="B839" s="43">
        <f>ROUND(PAGE6!$C$49,5)</f>
        <v>0</v>
      </c>
      <c r="C839" s="43">
        <f>ROUND(PAGE6!$E$49,5)</f>
        <v>0</v>
      </c>
    </row>
    <row r="840" spans="1:3">
      <c r="A840" s="146" t="e">
        <f>$C$1&amp;".E30A.REM.VAR.PVFIN.OS._INT.13.1_14_PERCT"</f>
        <v>#N/A</v>
      </c>
      <c r="B840" s="43">
        <f>ROUND(PAGE6!$G$49,5)</f>
        <v>0</v>
      </c>
      <c r="C840" s="43">
        <f>ROUND(PAGE6!$I$49,5)</f>
        <v>0</v>
      </c>
    </row>
    <row r="841" spans="1:3">
      <c r="A841" s="146" t="e">
        <f>$C$1&amp;".E30A.REM.ADJ.PVFIN.OS._INT.13.1_14_PERCT"</f>
        <v>#N/A</v>
      </c>
      <c r="B841" s="43">
        <f>ROUND(PAGE6!$K$49,5)</f>
        <v>0</v>
      </c>
      <c r="C841" s="43">
        <f>ROUND(PAGE6!$M$49,5)</f>
        <v>0</v>
      </c>
    </row>
    <row r="842" spans="1:3">
      <c r="A842" s="146" t="e">
        <f>$C$1&amp;".E30A.REM.PVFIN.OS._INT.13.1_14_PERCT.TTL"</f>
        <v>#N/A</v>
      </c>
      <c r="B842" s="43">
        <f>ROUND(PAGE6!$P$49,5)</f>
        <v>0</v>
      </c>
      <c r="C842" s="43">
        <f>ROUND(PAGE6!$R$49,5)</f>
        <v>0</v>
      </c>
    </row>
    <row r="843" spans="1:3">
      <c r="A843" s="146" t="e">
        <f>$C$1&amp;".E30A.REM.FR.PVFIN.OS._INT.14.1_15_PERCT"</f>
        <v>#N/A</v>
      </c>
      <c r="B843" s="43">
        <f>ROUND(PAGE6!$C$50,5)</f>
        <v>0</v>
      </c>
      <c r="C843" s="43">
        <f>ROUND(PAGE6!$E$50,5)</f>
        <v>0</v>
      </c>
    </row>
    <row r="844" spans="1:3">
      <c r="A844" s="146" t="e">
        <f>$C$1&amp;".E30A.REM.VAR.PVFIN.OS._INT.14.1_15_PERCT"</f>
        <v>#N/A</v>
      </c>
      <c r="B844" s="43">
        <f>ROUND(PAGE6!$G$50,5)</f>
        <v>0</v>
      </c>
      <c r="C844" s="43">
        <f>ROUND(PAGE6!$I$50,5)</f>
        <v>0</v>
      </c>
    </row>
    <row r="845" spans="1:3">
      <c r="A845" s="146" t="e">
        <f>$C$1&amp;".E30A.REM.ADJ.PVFIN.OS._INT.14.1_15_PERCT"</f>
        <v>#N/A</v>
      </c>
      <c r="B845" s="43">
        <f>ROUND(PAGE6!$K$50,5)</f>
        <v>0</v>
      </c>
      <c r="C845" s="43">
        <f>ROUND(PAGE6!$M$50,5)</f>
        <v>0</v>
      </c>
    </row>
    <row r="846" spans="1:3">
      <c r="A846" s="146" t="e">
        <f>$C$1&amp;".E30A.REM.PVFIN.OS._INT.14.1_15_PERCT.TTL"</f>
        <v>#N/A</v>
      </c>
      <c r="B846" s="43">
        <f>ROUND(PAGE6!$P$50,5)</f>
        <v>0</v>
      </c>
      <c r="C846" s="43">
        <f>ROUND(PAGE6!$R$50,5)</f>
        <v>0</v>
      </c>
    </row>
    <row r="847" spans="1:3">
      <c r="A847" s="146" t="e">
        <f>$C$1&amp;".E30A.REM.FR.PVFIN.OS._INT.OVR_15.1_PERCT"</f>
        <v>#N/A</v>
      </c>
      <c r="B847" s="43">
        <f>ROUND(PAGE6!$C$51,5)</f>
        <v>0</v>
      </c>
      <c r="C847" s="43">
        <f>ROUND(PAGE6!$E$51,5)</f>
        <v>0</v>
      </c>
    </row>
    <row r="848" spans="1:3">
      <c r="A848" s="146" t="e">
        <f>$C$1&amp;".E30A.REM.VAR.PVFIN.OS._INT.OVR_15.1_PERCT"</f>
        <v>#N/A</v>
      </c>
      <c r="B848" s="43">
        <f>ROUND(PAGE6!$G$51,5)</f>
        <v>0</v>
      </c>
      <c r="C848" s="43">
        <f>ROUND(PAGE6!$I$51,5)</f>
        <v>0</v>
      </c>
    </row>
    <row r="849" spans="1:3">
      <c r="A849" s="146" t="e">
        <f>$C$1&amp;".E30A.REM.ADJ.PVFIN.OS._INT.OVR_15.1_PERCT"</f>
        <v>#N/A</v>
      </c>
      <c r="B849" s="43">
        <f>ROUND(PAGE6!$K$51,5)</f>
        <v>0</v>
      </c>
      <c r="C849" s="43">
        <f>ROUND(PAGE6!$M$51,5)</f>
        <v>0</v>
      </c>
    </row>
    <row r="850" spans="1:3">
      <c r="A850" s="146" t="e">
        <f>$C$1&amp;".E30A.REM.PVFIN.OS._INT.OVR_15.1_PERCT.TTL"</f>
        <v>#N/A</v>
      </c>
      <c r="B850" s="43">
        <f>ROUND(PAGE6!$P$51,5)</f>
        <v>0</v>
      </c>
      <c r="C850" s="43">
        <f>ROUND(PAGE6!$R$51,5)</f>
        <v>0</v>
      </c>
    </row>
    <row r="851" spans="1:3">
      <c r="A851" s="146" t="e">
        <f>$C$1&amp;".E30A.REM.PVFIN.OS.TTL."</f>
        <v>#N/A</v>
      </c>
      <c r="B851" s="43">
        <f>ROUND(PAGE6!P53,5)</f>
        <v>0</v>
      </c>
      <c r="C851" s="43">
        <f>ROUND(PAGE6!R53,5)</f>
        <v>0</v>
      </c>
    </row>
    <row r="852" spans="1:3">
      <c r="A852" s="146" t="e">
        <f>$C$1&amp;".E30A.REM.FR.IBUS.OS._INT.0_3_PERCT"</f>
        <v>#N/A</v>
      </c>
      <c r="B852" s="43">
        <f>ROUND(PAGE6!$C$57,5)</f>
        <v>0</v>
      </c>
      <c r="C852" s="43">
        <f>ROUND(PAGE6!$E$57,5)</f>
        <v>0</v>
      </c>
    </row>
    <row r="853" spans="1:3">
      <c r="A853" s="146" t="e">
        <f>$C$1&amp;".E30A.REM.VAR.IBUS.OS._INT.0_3_PERCT"</f>
        <v>#N/A</v>
      </c>
      <c r="B853" s="43">
        <f>ROUND(PAGE6!$G$57,5)</f>
        <v>0</v>
      </c>
      <c r="C853" s="43">
        <f>ROUND(PAGE6!$I$57,5)</f>
        <v>0</v>
      </c>
    </row>
    <row r="854" spans="1:3">
      <c r="A854" s="146" t="e">
        <f>$C$1&amp;".E30A.REM.ADJ.IBUS.OS._INT.0_3_PERCT"</f>
        <v>#N/A</v>
      </c>
      <c r="B854" s="43">
        <f>ROUND(PAGE6!$K$57,5)</f>
        <v>0</v>
      </c>
      <c r="C854" s="43">
        <f>ROUND(PAGE6!$M$57,5)</f>
        <v>0</v>
      </c>
    </row>
    <row r="855" spans="1:3">
      <c r="A855" s="146" t="e">
        <f>$C$1&amp;".E30A.REM.IBUS.OS._INT.0_3_PERCT.TTL"</f>
        <v>#N/A</v>
      </c>
      <c r="B855" s="154">
        <f>ROUND(PAGE6!$P$57,5)</f>
        <v>0</v>
      </c>
      <c r="C855" s="43">
        <f>ROUND(PAGE6!$R$57,5)</f>
        <v>0</v>
      </c>
    </row>
    <row r="856" spans="1:3">
      <c r="A856" s="146" t="e">
        <f>$C$1&amp;".E30A.REM.FR.IBUS.OS._INT.3.1_4_PERCT"</f>
        <v>#N/A</v>
      </c>
      <c r="B856" s="43">
        <f>ROUND(PAGE6!$C$58,5)</f>
        <v>0</v>
      </c>
      <c r="C856" s="43">
        <f>ROUND(PAGE6!$E$58,5)</f>
        <v>0</v>
      </c>
    </row>
    <row r="857" spans="1:3">
      <c r="A857" s="146" t="e">
        <f>$C$1&amp;".E30A.REM.VAR.IBUS.OS._INT.3.1_4_PERCT"</f>
        <v>#N/A</v>
      </c>
      <c r="B857" s="43">
        <f>ROUND(PAGE6!$G$58,5)</f>
        <v>0</v>
      </c>
      <c r="C857" s="43">
        <f>ROUND(PAGE6!$I$58,5)</f>
        <v>0</v>
      </c>
    </row>
    <row r="858" spans="1:3">
      <c r="A858" s="146" t="e">
        <f>$C$1&amp;".E30A.REM.ADJ.IBUS.OS._INT.3.1_4_PERCT"</f>
        <v>#N/A</v>
      </c>
      <c r="B858" s="43">
        <f>ROUND(PAGE6!$K$58,5)</f>
        <v>0</v>
      </c>
      <c r="C858" s="43">
        <f>ROUND(PAGE6!$M$58,5)</f>
        <v>0</v>
      </c>
    </row>
    <row r="859" spans="1:3">
      <c r="A859" s="146" t="e">
        <f>$C$1&amp;".E30A.REM.IBUS.OS._INT.3.1_4_PERCT.TTL"</f>
        <v>#N/A</v>
      </c>
      <c r="B859" s="154">
        <f>ROUND(PAGE6!$P$58,5)</f>
        <v>0</v>
      </c>
      <c r="C859" s="43">
        <f>ROUND(PAGE6!$R$58,5)</f>
        <v>0</v>
      </c>
    </row>
    <row r="860" spans="1:3">
      <c r="A860" s="146" t="e">
        <f>$C$1&amp;".E30A.REM.FR.IBUS.OS._INT.4.1_5_PERCT"</f>
        <v>#N/A</v>
      </c>
      <c r="B860" s="43">
        <f>ROUND(PAGE6!$C$59,5)</f>
        <v>0</v>
      </c>
      <c r="C860" s="43">
        <f>ROUND(PAGE6!$E$59,5)</f>
        <v>0</v>
      </c>
    </row>
    <row r="861" spans="1:3">
      <c r="A861" s="146" t="e">
        <f>$C$1&amp;".E30A.REM.VAR.IBUS.OS._INT.4.1_5_PERCT"</f>
        <v>#N/A</v>
      </c>
      <c r="B861" s="43">
        <f>ROUND(PAGE6!$G$59,5)</f>
        <v>0</v>
      </c>
      <c r="C861" s="43">
        <f>ROUND(PAGE6!$I$59,5)</f>
        <v>0</v>
      </c>
    </row>
    <row r="862" spans="1:3">
      <c r="A862" s="146" t="e">
        <f>$C$1&amp;".E30A.REM.ADJ.IBUS.OS._INT.4.1_5_PERCT"</f>
        <v>#N/A</v>
      </c>
      <c r="B862" s="43">
        <f>ROUND(PAGE6!$K$59,5)</f>
        <v>0</v>
      </c>
      <c r="C862" s="43">
        <f>ROUND(PAGE6!$M$59,5)</f>
        <v>0</v>
      </c>
    </row>
    <row r="863" spans="1:3">
      <c r="A863" s="146" t="e">
        <f>$C$1&amp;".E30A.REM.IBUS.OS._INT.4.1_5_PERCT.TTL"</f>
        <v>#N/A</v>
      </c>
      <c r="B863" s="154">
        <f>ROUND(PAGE6!$P$59,5)</f>
        <v>0</v>
      </c>
      <c r="C863" s="43">
        <f>ROUND(PAGE6!$R$59,5)</f>
        <v>0</v>
      </c>
    </row>
    <row r="864" spans="1:3">
      <c r="A864" s="146" t="e">
        <f>$C$1&amp;".E30A.REM.FR.IBUS.OS._INT.5.1_6_PERCT"</f>
        <v>#N/A</v>
      </c>
      <c r="B864" s="43">
        <f>ROUND(PAGE6!$C$60,5)</f>
        <v>0</v>
      </c>
      <c r="C864" s="43">
        <f>ROUND(PAGE6!$E$60,5)</f>
        <v>0</v>
      </c>
    </row>
    <row r="865" spans="1:3">
      <c r="A865" s="146" t="e">
        <f>$C$1&amp;".E30A.REM.VAR.IBUS.OS._INT.5.1_6_PERCT"</f>
        <v>#N/A</v>
      </c>
      <c r="B865" s="43">
        <f>ROUND(PAGE6!$G$60,5)</f>
        <v>0</v>
      </c>
      <c r="C865" s="43">
        <f>ROUND(PAGE6!$I$60,5)</f>
        <v>0</v>
      </c>
    </row>
    <row r="866" spans="1:3">
      <c r="A866" s="146" t="e">
        <f>$C$1&amp;".E30A.REM.ADJ.IBUS.OS._INT.5.1_6_PERCT"</f>
        <v>#N/A</v>
      </c>
      <c r="B866" s="43">
        <f>ROUND(PAGE6!$K$60,5)</f>
        <v>0</v>
      </c>
      <c r="C866" s="43">
        <f>ROUND(PAGE6!$M$60,5)</f>
        <v>0</v>
      </c>
    </row>
    <row r="867" spans="1:3">
      <c r="A867" s="146" t="e">
        <f>$C$1&amp;".E30A.REM.IBUS.OS._INT.5.1_6_PERCT.TTL"</f>
        <v>#N/A</v>
      </c>
      <c r="B867" s="154">
        <f>ROUND(PAGE6!$P$60,5)</f>
        <v>0</v>
      </c>
      <c r="C867" s="43">
        <f>ROUND(PAGE6!$R$60,5)</f>
        <v>0</v>
      </c>
    </row>
    <row r="868" spans="1:3">
      <c r="A868" s="146" t="e">
        <f>$C$1&amp;".E30A.REM.FR.IBUS.OS._INT.6.1_7_PERCT"</f>
        <v>#N/A</v>
      </c>
      <c r="B868" s="43">
        <f>ROUND(PAGE6!$C$61,5)</f>
        <v>0</v>
      </c>
      <c r="C868" s="43">
        <f>ROUND(PAGE6!$E$61,5)</f>
        <v>0</v>
      </c>
    </row>
    <row r="869" spans="1:3">
      <c r="A869" s="146" t="e">
        <f>$C$1&amp;".E30A.REM.VAR.IBUS.OS._INT.6.1_7_PERCT"</f>
        <v>#N/A</v>
      </c>
      <c r="B869" s="43">
        <f>ROUND(PAGE6!$G$61,5)</f>
        <v>0</v>
      </c>
      <c r="C869" s="43">
        <f>ROUND(PAGE6!$I$61,5)</f>
        <v>0</v>
      </c>
    </row>
    <row r="870" spans="1:3">
      <c r="A870" s="146" t="e">
        <f>$C$1&amp;".E30A.REM.ADJ.IBUS.OS._INT.6.1_7_PERCT"</f>
        <v>#N/A</v>
      </c>
      <c r="B870" s="43">
        <f>ROUND(PAGE6!$K$61,5)</f>
        <v>0</v>
      </c>
      <c r="C870" s="43">
        <f>ROUND(PAGE6!$M$61,5)</f>
        <v>0</v>
      </c>
    </row>
    <row r="871" spans="1:3">
      <c r="A871" s="146" t="e">
        <f>$C$1&amp;".E30A.REM.IBUS.OS._INT.6.1_7_PERCT.TTL"</f>
        <v>#N/A</v>
      </c>
      <c r="B871" s="154">
        <f>ROUND(PAGE6!$P$61,5)</f>
        <v>0</v>
      </c>
      <c r="C871" s="43">
        <f>ROUND(PAGE6!$R$61,5)</f>
        <v>0</v>
      </c>
    </row>
    <row r="872" spans="1:3">
      <c r="A872" s="146" t="e">
        <f>$C$1&amp;".E30A.REM.FR.IBUS.OS._INT.7.1_8_PERCT"</f>
        <v>#N/A</v>
      </c>
      <c r="B872" s="43">
        <f>ROUND(PAGE6!$C$62,5)</f>
        <v>0</v>
      </c>
      <c r="C872" s="43">
        <f>ROUND(PAGE6!$E$62,5)</f>
        <v>0</v>
      </c>
    </row>
    <row r="873" spans="1:3">
      <c r="A873" s="146" t="e">
        <f>$C$1&amp;".E30A.REM.VAR.IBUS.OS._INT.7.1_8_PERCT"</f>
        <v>#N/A</v>
      </c>
      <c r="B873" s="43">
        <f>ROUND(PAGE6!$G$62,5)</f>
        <v>0</v>
      </c>
      <c r="C873" s="43">
        <f>ROUND(PAGE6!$I$62,5)</f>
        <v>0</v>
      </c>
    </row>
    <row r="874" spans="1:3">
      <c r="A874" s="146" t="e">
        <f>$C$1&amp;".E30A.REM.ADJ.IBUS.OS._INT.7.1_8_PERCT"</f>
        <v>#N/A</v>
      </c>
      <c r="B874" s="43">
        <f>ROUND(PAGE6!$K$62,5)</f>
        <v>0</v>
      </c>
      <c r="C874" s="43">
        <f>ROUND(PAGE6!$M$62,5)</f>
        <v>0</v>
      </c>
    </row>
    <row r="875" spans="1:3">
      <c r="A875" s="146" t="e">
        <f>$C$1&amp;".E30A.REM.IBUS.OS._INT.7.1_8_PERCT.TTL"</f>
        <v>#N/A</v>
      </c>
      <c r="B875" s="154">
        <f>ROUND(PAGE6!$P$62,5)</f>
        <v>0</v>
      </c>
      <c r="C875" s="43">
        <f>ROUND(PAGE6!$R$62,5)</f>
        <v>0</v>
      </c>
    </row>
    <row r="876" spans="1:3">
      <c r="A876" s="146" t="e">
        <f>$C$1&amp;".E30A.REM.FR.IBUS.OS._INT.8.1_9_PERCT"</f>
        <v>#N/A</v>
      </c>
      <c r="B876" s="43">
        <f>ROUND(PAGE6!$C$63,5)</f>
        <v>0</v>
      </c>
      <c r="C876" s="43">
        <f>ROUND(PAGE6!$E$63,5)</f>
        <v>0</v>
      </c>
    </row>
    <row r="877" spans="1:3">
      <c r="A877" s="146" t="e">
        <f>$C$1&amp;".E30A.REM.VAR.IBUS.OS._INT.8.1_9_PERCT"</f>
        <v>#N/A</v>
      </c>
      <c r="B877" s="43">
        <f>ROUND(PAGE6!$G$63,5)</f>
        <v>0</v>
      </c>
      <c r="C877" s="43">
        <f>ROUND(PAGE6!$I$63,5)</f>
        <v>0</v>
      </c>
    </row>
    <row r="878" spans="1:3">
      <c r="A878" s="146" t="e">
        <f>$C$1&amp;".E30A.REM.ADJ.IBUS.OS._INT.8.1_9_PERCT"</f>
        <v>#N/A</v>
      </c>
      <c r="B878" s="43">
        <f>ROUND(PAGE6!$K$63,5)</f>
        <v>0</v>
      </c>
      <c r="C878" s="43">
        <f>ROUND(PAGE6!$M$63,5)</f>
        <v>0</v>
      </c>
    </row>
    <row r="879" spans="1:3">
      <c r="A879" s="146" t="e">
        <f>$C$1&amp;".E30A.REM.IBUS.OS._INT.8.1_9_PERCT.TTL"</f>
        <v>#N/A</v>
      </c>
      <c r="B879" s="154">
        <f>ROUND(PAGE6!$P$63,5)</f>
        <v>0</v>
      </c>
      <c r="C879" s="43">
        <f>ROUND(PAGE6!$R$63,5)</f>
        <v>0</v>
      </c>
    </row>
    <row r="880" spans="1:3">
      <c r="A880" s="146" t="e">
        <f>$C$1&amp;".E30A.REM.FR.IBUS.OS._INT.9.1_10_PERCT"</f>
        <v>#N/A</v>
      </c>
      <c r="B880" s="43">
        <f>ROUND(PAGE6!$C$64,5)</f>
        <v>0</v>
      </c>
      <c r="C880" s="43">
        <f>ROUND(PAGE6!$E$64,5)</f>
        <v>0</v>
      </c>
    </row>
    <row r="881" spans="1:3">
      <c r="A881" s="146" t="e">
        <f>$C$1&amp;".E30A.REM.VAR.IBUS.OS._INT.9.1_10_PERCT"</f>
        <v>#N/A</v>
      </c>
      <c r="B881" s="43">
        <f>ROUND(PAGE6!$G$64,5)</f>
        <v>0</v>
      </c>
      <c r="C881" s="43">
        <f>ROUND(PAGE6!$I$64,5)</f>
        <v>0</v>
      </c>
    </row>
    <row r="882" spans="1:3">
      <c r="A882" s="146" t="e">
        <f>$C$1&amp;".E30A.REM.ADJ.IBUS.OS._INT.9.1_10_PERCT"</f>
        <v>#N/A</v>
      </c>
      <c r="B882" s="43">
        <f>ROUND(PAGE6!$K$64,5)</f>
        <v>0</v>
      </c>
      <c r="C882" s="43">
        <f>ROUND(PAGE6!$M$64,5)</f>
        <v>0</v>
      </c>
    </row>
    <row r="883" spans="1:3">
      <c r="A883" s="146" t="e">
        <f>$C$1&amp;".E30A.REM.IBUS.OS._INT.9.1_10_PERCT.TTL"</f>
        <v>#N/A</v>
      </c>
      <c r="B883" s="154">
        <f>ROUND(PAGE6!$P$64,5)</f>
        <v>0</v>
      </c>
      <c r="C883" s="43">
        <f>ROUND(PAGE6!$R$64,5)</f>
        <v>0</v>
      </c>
    </row>
    <row r="884" spans="1:3">
      <c r="A884" s="146" t="e">
        <f>$C$1&amp;".E30A.REM.FR.IBUS.OS._INT.10.1_11_PERCT"</f>
        <v>#N/A</v>
      </c>
      <c r="B884" s="43">
        <f>ROUND(PAGE6!$C$65,5)</f>
        <v>0</v>
      </c>
      <c r="C884" s="43">
        <f>ROUND(PAGE6!$E$65,5)</f>
        <v>0</v>
      </c>
    </row>
    <row r="885" spans="1:3">
      <c r="A885" s="146" t="e">
        <f>$C$1&amp;".E30A.REM.VAR.IBUS.OS._INT.10.1_11_PERCT"</f>
        <v>#N/A</v>
      </c>
      <c r="B885" s="43">
        <f>ROUND(PAGE6!$G$65,5)</f>
        <v>0</v>
      </c>
      <c r="C885" s="43">
        <f>ROUND(PAGE6!$I$65,5)</f>
        <v>0</v>
      </c>
    </row>
    <row r="886" spans="1:3">
      <c r="A886" s="146" t="e">
        <f>$C$1&amp;".E30A.REM.ADJ.IBUS.OS._INT.10.1_11_PERCT"</f>
        <v>#N/A</v>
      </c>
      <c r="B886" s="43">
        <f>ROUND(PAGE6!$K$65,5)</f>
        <v>0</v>
      </c>
      <c r="C886" s="43">
        <f>ROUND(PAGE6!$M$65,5)</f>
        <v>0</v>
      </c>
    </row>
    <row r="887" spans="1:3">
      <c r="A887" s="146" t="e">
        <f>$C$1&amp;".E30A.REM.IBUS.OS._INT.10.1_11_PERCT.TTL"</f>
        <v>#N/A</v>
      </c>
      <c r="B887" s="154">
        <f>ROUND(PAGE6!$P$65,5)</f>
        <v>0</v>
      </c>
      <c r="C887" s="43">
        <f>ROUND(PAGE6!$R$65,5)</f>
        <v>0</v>
      </c>
    </row>
    <row r="888" spans="1:3">
      <c r="A888" s="146" t="e">
        <f>$C$1&amp;".E30A.REM.FR.IBUS.OS._INT.11.1_12_PERCT"</f>
        <v>#N/A</v>
      </c>
      <c r="B888" s="43">
        <f>ROUND(PAGE6!$C$66,5)</f>
        <v>0</v>
      </c>
      <c r="C888" s="43">
        <f>ROUND(PAGE6!$E$66,5)</f>
        <v>0</v>
      </c>
    </row>
    <row r="889" spans="1:3">
      <c r="A889" s="146" t="e">
        <f>$C$1&amp;".E30A.REM.VAR.IBUS.OS._INT.11.1_12_PERCT"</f>
        <v>#N/A</v>
      </c>
      <c r="B889" s="43">
        <f>ROUND(PAGE6!$G$66,5)</f>
        <v>0</v>
      </c>
      <c r="C889" s="43">
        <f>ROUND(PAGE6!$I$66,5)</f>
        <v>0</v>
      </c>
    </row>
    <row r="890" spans="1:3">
      <c r="A890" s="146" t="e">
        <f>$C$1&amp;".E30A.REM.ADJ.IBUS.OS._INT.11.1_12_PERCT"</f>
        <v>#N/A</v>
      </c>
      <c r="B890" s="43">
        <f>ROUND(PAGE6!$K$66,5)</f>
        <v>0</v>
      </c>
      <c r="C890" s="43">
        <f>ROUND(PAGE6!$M$66,5)</f>
        <v>0</v>
      </c>
    </row>
    <row r="891" spans="1:3">
      <c r="A891" s="146" t="e">
        <f>$C$1&amp;".E30A.REM.IBUS.OS._INT.11.1_12_PERCT.TTL"</f>
        <v>#N/A</v>
      </c>
      <c r="B891" s="154">
        <f>ROUND(PAGE6!$P$66,5)</f>
        <v>0</v>
      </c>
      <c r="C891" s="43">
        <f>ROUND(PAGE6!$R$66,5)</f>
        <v>0</v>
      </c>
    </row>
    <row r="892" spans="1:3">
      <c r="A892" s="146" t="e">
        <f>$C$1&amp;".E30A.REM.FR.IBUS.OS._INT.12.1_13_PERCT"</f>
        <v>#N/A</v>
      </c>
      <c r="B892" s="43">
        <f>ROUND(PAGE6!$C$67,5)</f>
        <v>0</v>
      </c>
      <c r="C892" s="43">
        <f>ROUND(PAGE6!$E$67,5)</f>
        <v>0</v>
      </c>
    </row>
    <row r="893" spans="1:3">
      <c r="A893" s="146" t="e">
        <f>$C$1&amp;".E30A.REM.VAR.IBUS.OS._INT.12.1_13_PERCT"</f>
        <v>#N/A</v>
      </c>
      <c r="B893" s="43">
        <f>ROUND(PAGE6!$G$67,5)</f>
        <v>0</v>
      </c>
      <c r="C893" s="43">
        <f>ROUND(PAGE6!$I$67,5)</f>
        <v>0</v>
      </c>
    </row>
    <row r="894" spans="1:3">
      <c r="A894" s="146" t="e">
        <f>$C$1&amp;".E30A.REM.ADJ.IBUS.OS._INT.12.1_13_PERCT"</f>
        <v>#N/A</v>
      </c>
      <c r="B894" s="43">
        <f>ROUND(PAGE6!$K$67,5)</f>
        <v>0</v>
      </c>
      <c r="C894" s="43">
        <f>ROUND(PAGE6!$M$67,5)</f>
        <v>0</v>
      </c>
    </row>
    <row r="895" spans="1:3">
      <c r="A895" s="146" t="e">
        <f>$C$1&amp;".E30A.REM.IBUS.OS._INT.12.1_13_PERCT.TTL"</f>
        <v>#N/A</v>
      </c>
      <c r="B895" s="154">
        <f>ROUND(PAGE6!$P$67,5)</f>
        <v>0</v>
      </c>
      <c r="C895" s="43">
        <f>ROUND(PAGE6!$R$67,5)</f>
        <v>0</v>
      </c>
    </row>
    <row r="896" spans="1:3">
      <c r="A896" s="146" t="e">
        <f>$C$1&amp;".E30A.REM.FR.IBUS.OS._INT.13.1_14_PERCT"</f>
        <v>#N/A</v>
      </c>
      <c r="B896" s="43">
        <f>ROUND(PAGE6!$C$68,5)</f>
        <v>0</v>
      </c>
      <c r="C896" s="43">
        <f>ROUND(PAGE6!$E$68,5)</f>
        <v>0</v>
      </c>
    </row>
    <row r="897" spans="1:3">
      <c r="A897" s="146" t="e">
        <f>$C$1&amp;".E30A.REM.VAR.IBUS.OS._INT.13.1_14_PERCT"</f>
        <v>#N/A</v>
      </c>
      <c r="B897" s="43">
        <f>ROUND(PAGE6!$G$68,5)</f>
        <v>0</v>
      </c>
      <c r="C897" s="43">
        <f>ROUND(PAGE6!$I$68,5)</f>
        <v>0</v>
      </c>
    </row>
    <row r="898" spans="1:3">
      <c r="A898" s="146" t="e">
        <f>$C$1&amp;".E30A.REM.ADJ.IBUS.OS._INT.13.1_14_PERCT"</f>
        <v>#N/A</v>
      </c>
      <c r="B898" s="43">
        <f>ROUND(PAGE6!$K$68,5)</f>
        <v>0</v>
      </c>
      <c r="C898" s="43">
        <f>ROUND(PAGE6!$M$68,5)</f>
        <v>0</v>
      </c>
    </row>
    <row r="899" spans="1:3">
      <c r="A899" s="146" t="e">
        <f>$C$1&amp;".E30A.REM.IBUS.OS._INT.13.1_14_PERCT.TTL"</f>
        <v>#N/A</v>
      </c>
      <c r="B899" s="154">
        <f>ROUND(PAGE6!$P$68,5)</f>
        <v>0</v>
      </c>
      <c r="C899" s="43">
        <f>ROUND(PAGE6!$R$68,5)</f>
        <v>0</v>
      </c>
    </row>
    <row r="900" spans="1:3">
      <c r="A900" s="146" t="e">
        <f>$C$1&amp;".E30A.REM.FR.IBUS.OS._INT.14.1_15_PERCT"</f>
        <v>#N/A</v>
      </c>
      <c r="B900" s="43">
        <f>ROUND(PAGE6!$C$69,5)</f>
        <v>0</v>
      </c>
      <c r="C900" s="43">
        <f>ROUND(PAGE6!$E$69,5)</f>
        <v>0</v>
      </c>
    </row>
    <row r="901" spans="1:3">
      <c r="A901" s="146" t="e">
        <f>$C$1&amp;".E30A.REM.VAR.IBUS.OS._INT.14.1_15_PERCT"</f>
        <v>#N/A</v>
      </c>
      <c r="B901" s="43">
        <f>ROUND(PAGE6!$G$69,5)</f>
        <v>0</v>
      </c>
      <c r="C901" s="43">
        <f>ROUND(PAGE6!$I$69,5)</f>
        <v>0</v>
      </c>
    </row>
    <row r="902" spans="1:3">
      <c r="A902" s="146" t="e">
        <f>$C$1&amp;".E30A.REM.ADJ.IBUS.OS._INT.14.1_15_PERCT"</f>
        <v>#N/A</v>
      </c>
      <c r="B902" s="43">
        <f>ROUND(PAGE6!$K$69,5)</f>
        <v>0</v>
      </c>
      <c r="C902" s="43">
        <f>ROUND(PAGE6!$M$69,5)</f>
        <v>0</v>
      </c>
    </row>
    <row r="903" spans="1:3">
      <c r="A903" s="146" t="e">
        <f>$C$1&amp;".E30A.REM.IBUS.OS._INT.14.1_15_PERCT.TTL"</f>
        <v>#N/A</v>
      </c>
      <c r="B903" s="154">
        <f>ROUND(PAGE6!$P$69,5)</f>
        <v>0</v>
      </c>
      <c r="C903" s="43">
        <f>ROUND(PAGE6!$R$69,5)</f>
        <v>0</v>
      </c>
    </row>
    <row r="904" spans="1:3">
      <c r="A904" s="146" t="e">
        <f>$C$1&amp;".E30A.REM.FR.IBUS.OS._INT.OVR_15.1_PERCT"</f>
        <v>#N/A</v>
      </c>
      <c r="B904" s="43">
        <f>ROUND(PAGE6!$C$70,5)</f>
        <v>0</v>
      </c>
      <c r="C904" s="43">
        <f>ROUND(PAGE6!$E$70,5)</f>
        <v>0</v>
      </c>
    </row>
    <row r="905" spans="1:3">
      <c r="A905" s="146" t="e">
        <f>$C$1&amp;".E30A.REM.VAR.IBUS.OS._INT.OVR_15.1_PERCT"</f>
        <v>#N/A</v>
      </c>
      <c r="B905" s="43">
        <f>ROUND(PAGE6!$G$70,5)</f>
        <v>0</v>
      </c>
      <c r="C905" s="43">
        <f>ROUND(PAGE6!$I$70,5)</f>
        <v>0</v>
      </c>
    </row>
    <row r="906" spans="1:3">
      <c r="A906" s="146" t="e">
        <f>$C$1&amp;".E30A.REM.ADJ.IBUS.OS._INT.OVR_15.1_PERCT"</f>
        <v>#N/A</v>
      </c>
      <c r="B906" s="43">
        <f>ROUND(PAGE6!$K$70,5)</f>
        <v>0</v>
      </c>
      <c r="C906" s="43">
        <f>ROUND(PAGE6!$M$70,5)</f>
        <v>0</v>
      </c>
    </row>
    <row r="907" spans="1:3">
      <c r="A907" s="146" t="e">
        <f>$C$1&amp;".E30A.REM.IBUS.OS._INT.OVR_15.1_PERCT.TTL"</f>
        <v>#N/A</v>
      </c>
      <c r="B907" s="154">
        <f>ROUND(PAGE6!$P$70,5)</f>
        <v>0</v>
      </c>
      <c r="C907" s="43">
        <f>ROUND(PAGE6!$R$70,5)</f>
        <v>0</v>
      </c>
    </row>
    <row r="908" spans="1:3">
      <c r="A908" s="146" t="e">
        <f>$C$1&amp;".E30A.REM.IBUS.OS.TTL."</f>
        <v>#N/A</v>
      </c>
      <c r="B908" s="43">
        <f>ROUND(PAGE6!P72,5)</f>
        <v>0</v>
      </c>
      <c r="C908" s="43">
        <f>ROUND(PAGE6!R72,5)</f>
        <v>0</v>
      </c>
    </row>
    <row r="909" spans="1:3">
      <c r="A909" s="146" t="e">
        <f>$C$1&amp;".E30A.REM.FR.UIBUS.OS._INT.0_3_PERCT"</f>
        <v>#N/A</v>
      </c>
      <c r="B909" s="43">
        <f>ROUND(PAGE6!$C$76,5)</f>
        <v>0</v>
      </c>
      <c r="C909" s="43">
        <f>ROUND(PAGE6!$E$76,5)</f>
        <v>0</v>
      </c>
    </row>
    <row r="910" spans="1:3">
      <c r="A910" s="146" t="e">
        <f>$C$1&amp;".E30A.REM.VAR.UIBUS.OS._INT.0_3_PERCT"</f>
        <v>#N/A</v>
      </c>
      <c r="B910" s="43">
        <f>ROUND(PAGE6!$G$76,5)</f>
        <v>0</v>
      </c>
      <c r="C910" s="43">
        <f>ROUND(PAGE6!$I$76,5)</f>
        <v>0</v>
      </c>
    </row>
    <row r="911" spans="1:3">
      <c r="A911" s="146" t="e">
        <f>$C$1&amp;".E30A.REM.ADJ.UIBUS.OS._INT.0_3_PERCT"</f>
        <v>#N/A</v>
      </c>
      <c r="B911" s="43">
        <f>ROUND(PAGE6!$K$76,5)</f>
        <v>0</v>
      </c>
      <c r="C911" s="43">
        <f>ROUND(PAGE6!$M$76,5)</f>
        <v>0</v>
      </c>
    </row>
    <row r="912" spans="1:3">
      <c r="A912" s="146" t="e">
        <f>$C$1&amp;".E30A.REM.UIBUS.OS._INT.0_3_PERCT.TTL"</f>
        <v>#N/A</v>
      </c>
      <c r="B912" s="43">
        <f>ROUND(PAGE6!$P$76,5)</f>
        <v>0</v>
      </c>
      <c r="C912" s="43">
        <f>ROUND(PAGE6!$R$76,5)</f>
        <v>0</v>
      </c>
    </row>
    <row r="913" spans="1:3">
      <c r="A913" s="146" t="e">
        <f>$C$1&amp;".E30A.REM.FR.UIBUS.OS._INT.3.1_4_PERCT"</f>
        <v>#N/A</v>
      </c>
      <c r="B913" s="43">
        <f>ROUND(PAGE6!$C$77,5)</f>
        <v>0</v>
      </c>
      <c r="C913" s="43">
        <f>ROUND(PAGE6!$E$77,5)</f>
        <v>0</v>
      </c>
    </row>
    <row r="914" spans="1:3">
      <c r="A914" s="146" t="e">
        <f>$C$1&amp;".E30A.REM.VAR.UIBUS.OS._INT.3.1_4_PERCT"</f>
        <v>#N/A</v>
      </c>
      <c r="B914" s="43">
        <f>ROUND(PAGE6!$G$77,5)</f>
        <v>0</v>
      </c>
      <c r="C914" s="43">
        <f>ROUND(PAGE6!$I$77,5)</f>
        <v>0</v>
      </c>
    </row>
    <row r="915" spans="1:3">
      <c r="A915" s="146" t="e">
        <f>$C$1&amp;".E30A.REM.ADJ.UIBUS.OS._INT.3.1_4_PERCT"</f>
        <v>#N/A</v>
      </c>
      <c r="B915" s="43">
        <f>ROUND(PAGE6!$K$77,5)</f>
        <v>0</v>
      </c>
      <c r="C915" s="43">
        <f>ROUND(PAGE6!$M$77,5)</f>
        <v>0</v>
      </c>
    </row>
    <row r="916" spans="1:3">
      <c r="A916" s="146" t="e">
        <f>$C$1&amp;".E30A.REM.UIBUS.OS._INT.3.1_4_PERCT.TTL"</f>
        <v>#N/A</v>
      </c>
      <c r="B916" s="43">
        <f>ROUND(PAGE6!$P$77,5)</f>
        <v>0</v>
      </c>
      <c r="C916" s="43">
        <f>ROUND(PAGE6!$R$77,5)</f>
        <v>0</v>
      </c>
    </row>
    <row r="917" spans="1:3">
      <c r="A917" s="146" t="e">
        <f>$C$1&amp;".E30A.REM.FR.UIBUS.OS._INT.4.1_5_PERCT"</f>
        <v>#N/A</v>
      </c>
      <c r="B917" s="43">
        <f>ROUND(PAGE6!$C$78,5)</f>
        <v>0</v>
      </c>
      <c r="C917" s="43">
        <f>ROUND(PAGE6!$E$78,5)</f>
        <v>0</v>
      </c>
    </row>
    <row r="918" spans="1:3">
      <c r="A918" s="146" t="e">
        <f>$C$1&amp;".E30A.REM.VAR.UIBUS.OS._INT.4.1_5_PERCT"</f>
        <v>#N/A</v>
      </c>
      <c r="B918" s="43">
        <f>ROUND(PAGE6!$G$78,5)</f>
        <v>0</v>
      </c>
      <c r="C918" s="43">
        <f>ROUND(PAGE6!$I$78,5)</f>
        <v>0</v>
      </c>
    </row>
    <row r="919" spans="1:3">
      <c r="A919" s="146" t="e">
        <f>$C$1&amp;".E30A.REM.ADJ.UIBUS.OS._INT.4.1_5_PERCT"</f>
        <v>#N/A</v>
      </c>
      <c r="B919" s="43">
        <f>ROUND(PAGE6!$K$78,5)</f>
        <v>0</v>
      </c>
      <c r="C919" s="43">
        <f>ROUND(PAGE6!$M$78,5)</f>
        <v>0</v>
      </c>
    </row>
    <row r="920" spans="1:3">
      <c r="A920" s="146" t="e">
        <f>$C$1&amp;".E30A.REM.UIBUS.OS._INT.4.1_5_PERCT.TTL"</f>
        <v>#N/A</v>
      </c>
      <c r="B920" s="43">
        <f>ROUND(PAGE6!$P$78,5)</f>
        <v>0</v>
      </c>
      <c r="C920" s="43">
        <f>ROUND(PAGE6!$R$78,5)</f>
        <v>0</v>
      </c>
    </row>
    <row r="921" spans="1:3">
      <c r="A921" s="146" t="e">
        <f>$C$1&amp;".E30A.REM.FR.UIBUS.OS._INT.5.1_6_PERCT"</f>
        <v>#N/A</v>
      </c>
      <c r="B921" s="43">
        <f>ROUND(PAGE6!$C$79,5)</f>
        <v>0</v>
      </c>
      <c r="C921" s="43">
        <f>ROUND(PAGE6!$E$79,5)</f>
        <v>0</v>
      </c>
    </row>
    <row r="922" spans="1:3">
      <c r="A922" s="146" t="e">
        <f>$C$1&amp;".E30A.REM.VAR.UIBUS.OS._INT.5.1_6_PERCT"</f>
        <v>#N/A</v>
      </c>
      <c r="B922" s="43">
        <f>ROUND(PAGE6!$G$79,5)</f>
        <v>0</v>
      </c>
      <c r="C922" s="43">
        <f>ROUND(PAGE6!$I$79,5)</f>
        <v>0</v>
      </c>
    </row>
    <row r="923" spans="1:3">
      <c r="A923" s="146" t="e">
        <f>$C$1&amp;".E30A.REM.ADJ.UIBUS.OS._INT.5.1_6_PERCT"</f>
        <v>#N/A</v>
      </c>
      <c r="B923" s="43">
        <f>ROUND(PAGE6!$K$79,5)</f>
        <v>0</v>
      </c>
      <c r="C923" s="43">
        <f>ROUND(PAGE6!$M$79,5)</f>
        <v>0</v>
      </c>
    </row>
    <row r="924" spans="1:3">
      <c r="A924" s="146" t="e">
        <f>$C$1&amp;".E30A.REM.UIBUS.OS._INT.5.1_6_PERCT.TTL"</f>
        <v>#N/A</v>
      </c>
      <c r="B924" s="43">
        <f>ROUND(PAGE6!$P$79,5)</f>
        <v>0</v>
      </c>
      <c r="C924" s="43">
        <f>ROUND(PAGE6!$R$79,5)</f>
        <v>0</v>
      </c>
    </row>
    <row r="925" spans="1:3">
      <c r="A925" s="146" t="e">
        <f>$C$1&amp;".E30A.REM.FR.UIBUS.OS._INT.6.1_7_PERCT"</f>
        <v>#N/A</v>
      </c>
      <c r="B925" s="43">
        <f>ROUND(PAGE6!$C$80,5)</f>
        <v>0</v>
      </c>
      <c r="C925" s="43">
        <f>ROUND(PAGE6!$E$80,5)</f>
        <v>0</v>
      </c>
    </row>
    <row r="926" spans="1:3">
      <c r="A926" s="146" t="e">
        <f>$C$1&amp;".E30A.REM.VAR.UIBUS.OS._INT.6.1_7_PERCT"</f>
        <v>#N/A</v>
      </c>
      <c r="B926" s="43">
        <f>ROUND(PAGE6!$G$80,5)</f>
        <v>0</v>
      </c>
      <c r="C926" s="43">
        <f>ROUND(PAGE6!$I$80,5)</f>
        <v>0</v>
      </c>
    </row>
    <row r="927" spans="1:3">
      <c r="A927" s="146" t="e">
        <f>$C$1&amp;".E30A.REM.ADJ.UIBUS.OS._INT.6.1_7_PERCT"</f>
        <v>#N/A</v>
      </c>
      <c r="B927" s="43">
        <f>ROUND(PAGE6!$K$80,5)</f>
        <v>0</v>
      </c>
      <c r="C927" s="43">
        <f>ROUND(PAGE6!$M$80,5)</f>
        <v>0</v>
      </c>
    </row>
    <row r="928" spans="1:3">
      <c r="A928" s="146" t="e">
        <f>$C$1&amp;".E30A.REM.UIBUS.OS._INT.6.1_7_PERCT.TTL"</f>
        <v>#N/A</v>
      </c>
      <c r="B928" s="43">
        <f>ROUND(PAGE6!$P$80,5)</f>
        <v>0</v>
      </c>
      <c r="C928" s="43">
        <f>ROUND(PAGE6!$R$80,5)</f>
        <v>0</v>
      </c>
    </row>
    <row r="929" spans="1:3">
      <c r="A929" s="146" t="e">
        <f>$C$1&amp;".E30A.REM.FR.UIBUS.OS._INT.7.1_8_PERCT"</f>
        <v>#N/A</v>
      </c>
      <c r="B929" s="43">
        <f>ROUND(PAGE6!$C$81,5)</f>
        <v>0</v>
      </c>
      <c r="C929" s="43">
        <f>ROUND(PAGE6!$E$81,5)</f>
        <v>0</v>
      </c>
    </row>
    <row r="930" spans="1:3">
      <c r="A930" s="146" t="e">
        <f>$C$1&amp;".E30A.REM.VAR.UIBUS.OS._INT.7.1_8_PERCT"</f>
        <v>#N/A</v>
      </c>
      <c r="B930" s="43">
        <f>ROUND(PAGE6!$G$81,5)</f>
        <v>0</v>
      </c>
      <c r="C930" s="43">
        <f>ROUND(PAGE6!$I$81,5)</f>
        <v>0</v>
      </c>
    </row>
    <row r="931" spans="1:3">
      <c r="A931" s="146" t="e">
        <f>$C$1&amp;".E30A.REM.ADJ.UIBUS.OS._INT.7.1_8_PERCT"</f>
        <v>#N/A</v>
      </c>
      <c r="B931" s="43">
        <f>ROUND(PAGE6!$K$81,5)</f>
        <v>0</v>
      </c>
      <c r="C931" s="43">
        <f>ROUND(PAGE6!$M$81,5)</f>
        <v>0</v>
      </c>
    </row>
    <row r="932" spans="1:3">
      <c r="A932" s="146" t="e">
        <f>$C$1&amp;".E30A.REM.UIBUS.OS._INT.7.1_8_PERCT.TTL"</f>
        <v>#N/A</v>
      </c>
      <c r="B932" s="43">
        <f>ROUND(PAGE6!$P$81,5)</f>
        <v>0</v>
      </c>
      <c r="C932" s="43">
        <f>ROUND(PAGE6!$R$81,5)</f>
        <v>0</v>
      </c>
    </row>
    <row r="933" spans="1:3">
      <c r="A933" s="146" t="e">
        <f>$C$1&amp;".E30A.REM.FR.UIBUS.OS._INT.8.1_9_PERCT"</f>
        <v>#N/A</v>
      </c>
      <c r="B933" s="43">
        <f>ROUND(PAGE6!$C$82,5)</f>
        <v>0</v>
      </c>
      <c r="C933" s="43">
        <f>ROUND(PAGE6!$E$82,5)</f>
        <v>0</v>
      </c>
    </row>
    <row r="934" spans="1:3">
      <c r="A934" s="146" t="e">
        <f>$C$1&amp;".E30A.REM.VAR.UIBUS.OS._INT.8.1_9_PERCT"</f>
        <v>#N/A</v>
      </c>
      <c r="B934" s="43">
        <f>ROUND(PAGE6!$G$82,5)</f>
        <v>0</v>
      </c>
      <c r="C934" s="43">
        <f>ROUND(PAGE6!$I$82,5)</f>
        <v>0</v>
      </c>
    </row>
    <row r="935" spans="1:3">
      <c r="A935" s="146" t="e">
        <f>$C$1&amp;".E30A.REM.ADJ.UIBUS.OS._INT.8.1_9_PERCT"</f>
        <v>#N/A</v>
      </c>
      <c r="B935" s="43">
        <f>ROUND(PAGE6!$K$82,5)</f>
        <v>0</v>
      </c>
      <c r="C935" s="43">
        <f>ROUND(PAGE6!$M$82,5)</f>
        <v>0</v>
      </c>
    </row>
    <row r="936" spans="1:3">
      <c r="A936" s="146" t="e">
        <f>$C$1&amp;".E30A.REM.UIBUS.OS._INT.8.1_9_PERCT.TTL"</f>
        <v>#N/A</v>
      </c>
      <c r="B936" s="43">
        <f>ROUND(PAGE6!$P$82,5)</f>
        <v>0</v>
      </c>
      <c r="C936" s="43">
        <f>ROUND(PAGE6!$R$82,5)</f>
        <v>0</v>
      </c>
    </row>
    <row r="937" spans="1:3">
      <c r="A937" s="146" t="e">
        <f>$C$1&amp;".E30A.REM.FR.UIBUS.OS._INT.9.1_10_PERCT"</f>
        <v>#N/A</v>
      </c>
      <c r="B937" s="43">
        <f>ROUND(PAGE6!$C$83,5)</f>
        <v>0</v>
      </c>
      <c r="C937" s="43">
        <f>ROUND(PAGE6!$E$83,5)</f>
        <v>0</v>
      </c>
    </row>
    <row r="938" spans="1:3">
      <c r="A938" s="146" t="e">
        <f>$C$1&amp;".E30A.REM.VAR.UIBUS.OS._INT.9.1_10_PERCT"</f>
        <v>#N/A</v>
      </c>
      <c r="B938" s="43">
        <f>ROUND(PAGE6!$G$83,5)</f>
        <v>0</v>
      </c>
      <c r="C938" s="43">
        <f>ROUND(PAGE6!$I$83,5)</f>
        <v>0</v>
      </c>
    </row>
    <row r="939" spans="1:3">
      <c r="A939" s="146" t="e">
        <f>$C$1&amp;".E30A.REM.ADJ.UIBUS.OS._INT.9.1_10_PERCT"</f>
        <v>#N/A</v>
      </c>
      <c r="B939" s="43">
        <f>ROUND(PAGE6!$K$83,5)</f>
        <v>0</v>
      </c>
      <c r="C939" s="43">
        <f>ROUND(PAGE6!$M$83,5)</f>
        <v>0</v>
      </c>
    </row>
    <row r="940" spans="1:3">
      <c r="A940" s="146" t="e">
        <f>$C$1&amp;".E30A.REM.UIBUS.OS._INT.9.1_10_PERCT.TTL"</f>
        <v>#N/A</v>
      </c>
      <c r="B940" s="43">
        <f>ROUND(PAGE6!$P$83,5)</f>
        <v>0</v>
      </c>
      <c r="C940" s="43">
        <f>ROUND(PAGE6!$R$83,5)</f>
        <v>0</v>
      </c>
    </row>
    <row r="941" spans="1:3">
      <c r="A941" s="146" t="e">
        <f>$C$1&amp;".E30A.REM.FR.UIBUS.OS._INT.10.1_11_PERCT"</f>
        <v>#N/A</v>
      </c>
      <c r="B941" s="43">
        <f>ROUND(PAGE6!$C$84,5)</f>
        <v>0</v>
      </c>
      <c r="C941" s="43">
        <f>ROUND(PAGE6!$E$84,5)</f>
        <v>0</v>
      </c>
    </row>
    <row r="942" spans="1:3">
      <c r="A942" s="146" t="e">
        <f>$C$1&amp;".E30A.REM.VAR.UIBUS.OS._INT.10.1_11_PERCT"</f>
        <v>#N/A</v>
      </c>
      <c r="B942" s="43">
        <f>ROUND(PAGE6!$G$84,5)</f>
        <v>0</v>
      </c>
      <c r="C942" s="43">
        <f>ROUND(PAGE6!$I$84,5)</f>
        <v>0</v>
      </c>
    </row>
    <row r="943" spans="1:3">
      <c r="A943" s="146" t="e">
        <f>$C$1&amp;".E30A.REM.ADJ.UIBUS.OS._INT.10.1_11_PERCT"</f>
        <v>#N/A</v>
      </c>
      <c r="B943" s="43">
        <f>ROUND(PAGE6!$K$84,5)</f>
        <v>0</v>
      </c>
      <c r="C943" s="43">
        <f>ROUND(PAGE6!$M$84,5)</f>
        <v>0</v>
      </c>
    </row>
    <row r="944" spans="1:3">
      <c r="A944" s="146" t="e">
        <f>$C$1&amp;".E30A.REM.UIBUS.OS._INT.10.1_11_PERCT.TTL"</f>
        <v>#N/A</v>
      </c>
      <c r="B944" s="43">
        <f>ROUND(PAGE6!$P$84,5)</f>
        <v>0</v>
      </c>
      <c r="C944" s="43">
        <f>ROUND(PAGE6!$R$84,5)</f>
        <v>0</v>
      </c>
    </row>
    <row r="945" spans="1:3">
      <c r="A945" s="146" t="e">
        <f>$C$1&amp;".E30A.REM.FR.UIBUS.OS._INT.11.1_12_PERCT"</f>
        <v>#N/A</v>
      </c>
      <c r="B945" s="43">
        <f>ROUND(PAGE6!$C$85,5)</f>
        <v>0</v>
      </c>
      <c r="C945" s="43">
        <f>ROUND(PAGE6!$E$85,5)</f>
        <v>0</v>
      </c>
    </row>
    <row r="946" spans="1:3">
      <c r="A946" s="146" t="e">
        <f>$C$1&amp;".E30A.REM.VAR.UIBUS.OS._INT.11.1_12_PERCT"</f>
        <v>#N/A</v>
      </c>
      <c r="B946" s="43">
        <f>ROUND(PAGE6!$G$85,5)</f>
        <v>0</v>
      </c>
      <c r="C946" s="43">
        <f>ROUND(PAGE6!$I$85,5)</f>
        <v>0</v>
      </c>
    </row>
    <row r="947" spans="1:3">
      <c r="A947" s="146" t="e">
        <f>$C$1&amp;".E30A.REM.ADJ.UIBUS.OS._INT.11.1_12_PERCT"</f>
        <v>#N/A</v>
      </c>
      <c r="B947" s="43">
        <f>ROUND(PAGE6!$K$85,5)</f>
        <v>0</v>
      </c>
      <c r="C947" s="43">
        <f>ROUND(PAGE6!$M$85,5)</f>
        <v>0</v>
      </c>
    </row>
    <row r="948" spans="1:3">
      <c r="A948" s="146" t="e">
        <f>$C$1&amp;".E30A.REM.UIBUS.OS._INT.11.1_12_PERCT.TTL"</f>
        <v>#N/A</v>
      </c>
      <c r="B948" s="43">
        <f>ROUND(PAGE6!$P$85,5)</f>
        <v>0</v>
      </c>
      <c r="C948" s="43">
        <f>ROUND(PAGE6!$R$85,5)</f>
        <v>0</v>
      </c>
    </row>
    <row r="949" spans="1:3">
      <c r="A949" s="146" t="e">
        <f>$C$1&amp;".E30A.REM.FR.UIBUS.OS._INT.12.1_13_PERCT"</f>
        <v>#N/A</v>
      </c>
      <c r="B949" s="43">
        <f>ROUND(PAGE6!$C$86,5)</f>
        <v>0</v>
      </c>
      <c r="C949" s="43">
        <f>ROUND(PAGE6!$E$86,5)</f>
        <v>0</v>
      </c>
    </row>
    <row r="950" spans="1:3">
      <c r="A950" s="146" t="e">
        <f>$C$1&amp;".E30A.REM.VAR.UIBUS.OS._INT.12.1_13_PERCT"</f>
        <v>#N/A</v>
      </c>
      <c r="B950" s="43">
        <f>ROUND(PAGE6!$G$86,5)</f>
        <v>0</v>
      </c>
      <c r="C950" s="43">
        <f>ROUND(PAGE6!$I$86,5)</f>
        <v>0</v>
      </c>
    </row>
    <row r="951" spans="1:3">
      <c r="A951" s="146" t="e">
        <f>$C$1&amp;".E30A.REM.ADJ.UIBUS.OS._INT.12.1_13_PERCT"</f>
        <v>#N/A</v>
      </c>
      <c r="B951" s="43">
        <f>ROUND(PAGE6!$K$86,5)</f>
        <v>0</v>
      </c>
      <c r="C951" s="43">
        <f>ROUND(PAGE6!$M$86,5)</f>
        <v>0</v>
      </c>
    </row>
    <row r="952" spans="1:3">
      <c r="A952" s="146" t="e">
        <f>$C$1&amp;".E30A.REM.UIBUS.OS._INT.12.1_13_PERCT.TTL"</f>
        <v>#N/A</v>
      </c>
      <c r="B952" s="43">
        <f>ROUND(PAGE6!$P$86,5)</f>
        <v>0</v>
      </c>
      <c r="C952" s="43">
        <f>ROUND(PAGE6!$R$86,5)</f>
        <v>0</v>
      </c>
    </row>
    <row r="953" spans="1:3">
      <c r="A953" s="146" t="e">
        <f>$C$1&amp;".E30A.REM.FR.UIBUS.OS._INT.13.1_14_PERCT"</f>
        <v>#N/A</v>
      </c>
      <c r="B953" s="43">
        <f>ROUND(PAGE6!$C$87,5)</f>
        <v>0</v>
      </c>
      <c r="C953" s="43">
        <f>ROUND(PAGE6!$E$87,5)</f>
        <v>0</v>
      </c>
    </row>
    <row r="954" spans="1:3">
      <c r="A954" s="146" t="e">
        <f>$C$1&amp;".E30A.REM.VAR.UIBUS.OS._INT.13.1_14_PERCT"</f>
        <v>#N/A</v>
      </c>
      <c r="B954" s="43">
        <f>ROUND(PAGE6!$G$87,5)</f>
        <v>0</v>
      </c>
      <c r="C954" s="43">
        <f>ROUND(PAGE6!$I$87,5)</f>
        <v>0</v>
      </c>
    </row>
    <row r="955" spans="1:3">
      <c r="A955" s="146" t="e">
        <f>$C$1&amp;".E30A.REM.ADJ.UIBUS.OS._INT.13.1_14_PERCT"</f>
        <v>#N/A</v>
      </c>
      <c r="B955" s="43">
        <f>ROUND(PAGE6!$K$87,5)</f>
        <v>0</v>
      </c>
      <c r="C955" s="43">
        <f>ROUND(PAGE6!$M$87,5)</f>
        <v>0</v>
      </c>
    </row>
    <row r="956" spans="1:3">
      <c r="A956" s="146" t="e">
        <f>$C$1&amp;".E30A.REM.UIBUS.OS._INT.13.1_14_PERCT.TTL"</f>
        <v>#N/A</v>
      </c>
      <c r="B956" s="43">
        <f>ROUND(PAGE6!$P$87,5)</f>
        <v>0</v>
      </c>
      <c r="C956" s="43">
        <f>ROUND(PAGE6!$R$87,5)</f>
        <v>0</v>
      </c>
    </row>
    <row r="957" spans="1:3">
      <c r="A957" s="146" t="e">
        <f>$C$1&amp;".E30A.REM.FR.UIBUS.OS._INT.14.1_15_PERCT"</f>
        <v>#N/A</v>
      </c>
      <c r="B957" s="43">
        <f>ROUND(PAGE6!$C$88,5)</f>
        <v>0</v>
      </c>
      <c r="C957" s="43">
        <f>ROUND(PAGE6!$E$88,5)</f>
        <v>0</v>
      </c>
    </row>
    <row r="958" spans="1:3">
      <c r="A958" s="146" t="e">
        <f>$C$1&amp;".E30A.REM.VAR.UIBUS.OS._INT.14.1_15_PERCT"</f>
        <v>#N/A</v>
      </c>
      <c r="B958" s="43">
        <f>ROUND(PAGE6!$G$88,5)</f>
        <v>0</v>
      </c>
      <c r="C958" s="43">
        <f>ROUND(PAGE6!$I$88,5)</f>
        <v>0</v>
      </c>
    </row>
    <row r="959" spans="1:3">
      <c r="A959" s="146" t="e">
        <f>$C$1&amp;".E30A.REM.ADJ.UIBUS.OS._INT.14.1_15_PERCT"</f>
        <v>#N/A</v>
      </c>
      <c r="B959" s="43">
        <f>ROUND(PAGE6!$K$88,5)</f>
        <v>0</v>
      </c>
      <c r="C959" s="43">
        <f>ROUND(PAGE6!$M$88,5)</f>
        <v>0</v>
      </c>
    </row>
    <row r="960" spans="1:3">
      <c r="A960" s="146" t="e">
        <f>$C$1&amp;".E30A.REM.UIBUS.OS._INT.14.1_15_PERCT.TTL"</f>
        <v>#N/A</v>
      </c>
      <c r="B960" s="43">
        <f>ROUND(PAGE6!$P$88,5)</f>
        <v>0</v>
      </c>
      <c r="C960" s="43">
        <f>ROUND(PAGE6!$R$88,5)</f>
        <v>0</v>
      </c>
    </row>
    <row r="961" spans="1:3">
      <c r="A961" s="146" t="e">
        <f>$C$1&amp;".E30A.REM.FR.UIBUS.OS._INT.OVR_15.1_PERCT"</f>
        <v>#N/A</v>
      </c>
      <c r="B961" s="43">
        <f>ROUND(PAGE6!$C$89,5)</f>
        <v>0</v>
      </c>
      <c r="C961" s="43">
        <f>ROUND(PAGE6!$E$89,5)</f>
        <v>0</v>
      </c>
    </row>
    <row r="962" spans="1:3">
      <c r="A962" s="146" t="e">
        <f>$C$1&amp;".E30A.REM.VAR.UIBUS.OS._INT.OVR_15.1_PERCT"</f>
        <v>#N/A</v>
      </c>
      <c r="B962" s="43">
        <f>ROUND(PAGE6!$G$89,5)</f>
        <v>0</v>
      </c>
      <c r="C962" s="43">
        <f>ROUND(PAGE6!$I$89,5)</f>
        <v>0</v>
      </c>
    </row>
    <row r="963" spans="1:3">
      <c r="A963" s="146" t="e">
        <f>$C$1&amp;".E30A.REM.ADJ.UIBUS.OS._INT.OVR_15.1_PERCT"</f>
        <v>#N/A</v>
      </c>
      <c r="B963" s="43">
        <f>ROUND(PAGE6!$K$89,5)</f>
        <v>0</v>
      </c>
      <c r="C963" s="43">
        <f>ROUND(PAGE6!$M$89,5)</f>
        <v>0</v>
      </c>
    </row>
    <row r="964" spans="1:3">
      <c r="A964" s="146" t="e">
        <f>$C$1&amp;".E30A.REM.UIBUS.OS._INT.OVR_15.1_PERCT.TTL"</f>
        <v>#N/A</v>
      </c>
      <c r="B964" s="43">
        <f>ROUND(PAGE6!$P$89,5)</f>
        <v>0</v>
      </c>
      <c r="C964" s="43">
        <f>ROUND(PAGE6!$R$89,5)</f>
        <v>0</v>
      </c>
    </row>
    <row r="965" spans="1:3">
      <c r="A965" s="146" t="e">
        <f>$C$1&amp;".E30A.REM.UIBUS.OS.TTL."</f>
        <v>#N/A</v>
      </c>
      <c r="B965" s="43">
        <f>ROUND(PAGE6!P91,5)</f>
        <v>0</v>
      </c>
      <c r="C965" s="43">
        <f>ROUND(PAGE6!R91,5)</f>
        <v>0</v>
      </c>
    </row>
    <row r="966" spans="1:3">
      <c r="A966" s="146" t="e">
        <f>$C$1&amp;".E30A.REM.FR.CONSM.OS._INT.0_3_PERCT"</f>
        <v>#N/A</v>
      </c>
      <c r="B966" s="43">
        <f>ROUND(PAGE6!$C$94,5)</f>
        <v>0</v>
      </c>
      <c r="C966" s="43">
        <f>ROUND(PAGE6!$E$94,5)</f>
        <v>0</v>
      </c>
    </row>
    <row r="967" spans="1:3">
      <c r="A967" s="146" t="e">
        <f>$C$1&amp;".E30A.REM.VAR.CONSM.OS._INT.0_3_PERCT"</f>
        <v>#N/A</v>
      </c>
      <c r="B967" s="43">
        <f>ROUND(PAGE6!$G$94,5)</f>
        <v>0</v>
      </c>
      <c r="C967" s="43">
        <f>ROUND(PAGE6!$I$94,5)</f>
        <v>0</v>
      </c>
    </row>
    <row r="968" spans="1:3">
      <c r="A968" s="146" t="e">
        <f>$C$1&amp;".E30A.REM.ADJ.CONSM.OS._INT.0_3_PERCT"</f>
        <v>#N/A</v>
      </c>
      <c r="B968" s="43">
        <f>ROUND(PAGE6!$K$94,5)</f>
        <v>0</v>
      </c>
      <c r="C968" s="43">
        <f>ROUND(PAGE6!$M$94,5)</f>
        <v>0</v>
      </c>
    </row>
    <row r="969" spans="1:3">
      <c r="A969" s="146" t="e">
        <f>$C$1&amp;".E30A.REM.CONSM.OS._INT.0_3_PERCT.TTL"</f>
        <v>#N/A</v>
      </c>
      <c r="B969" s="43">
        <f>ROUND(PAGE6!$P$94,5)</f>
        <v>0</v>
      </c>
      <c r="C969" s="43">
        <f>ROUND(PAGE6!$R$94,5)</f>
        <v>0</v>
      </c>
    </row>
    <row r="970" spans="1:3">
      <c r="A970" s="146" t="e">
        <f>$C$1&amp;".E30A.REM.FR.CONSM.OS._INT.3.1_4_PERCT"</f>
        <v>#N/A</v>
      </c>
      <c r="B970" s="43">
        <f>ROUND(PAGE6!$C$95,5)</f>
        <v>0</v>
      </c>
      <c r="C970" s="43">
        <f>ROUND(PAGE6!$E$95,5)</f>
        <v>0</v>
      </c>
    </row>
    <row r="971" spans="1:3">
      <c r="A971" s="146" t="e">
        <f>$C$1&amp;".E30A.REM.VAR.CONSM.OS._INT.3.1_4_PERCT"</f>
        <v>#N/A</v>
      </c>
      <c r="B971" s="43">
        <f>ROUND(PAGE6!$G$95,5)</f>
        <v>0</v>
      </c>
      <c r="C971" s="43">
        <f>ROUND(PAGE6!$I$95,5)</f>
        <v>0</v>
      </c>
    </row>
    <row r="972" spans="1:3">
      <c r="A972" s="146" t="e">
        <f>$C$1&amp;".E30A.REM.ADJ.CONSM.OS._INT.3.1_4_PERCT"</f>
        <v>#N/A</v>
      </c>
      <c r="B972" s="43">
        <f>ROUND(PAGE6!$K$95,5)</f>
        <v>0</v>
      </c>
      <c r="C972" s="43">
        <f>ROUND(PAGE6!$M$95,5)</f>
        <v>0</v>
      </c>
    </row>
    <row r="973" spans="1:3">
      <c r="A973" s="146" t="e">
        <f>$C$1&amp;".E30A.REM.CONSM.OS._INT.3.1_4_PERCT.TTL"</f>
        <v>#N/A</v>
      </c>
      <c r="B973" s="43">
        <f>ROUND(PAGE6!$P$95,5)</f>
        <v>0</v>
      </c>
      <c r="C973" s="43">
        <f>ROUND(PAGE6!$R$95,5)</f>
        <v>0</v>
      </c>
    </row>
    <row r="974" spans="1:3">
      <c r="A974" s="146" t="e">
        <f>$C$1&amp;".E30A.REM.FR.CONSM.OS._INT.4.1_5_PERCT"</f>
        <v>#N/A</v>
      </c>
      <c r="B974" s="43">
        <f>ROUND(PAGE6!$C$96,5)</f>
        <v>0</v>
      </c>
      <c r="C974" s="43">
        <f>ROUND(PAGE6!$E$96,5)</f>
        <v>0</v>
      </c>
    </row>
    <row r="975" spans="1:3">
      <c r="A975" s="146" t="e">
        <f>$C$1&amp;".E30A.REM.VAR.CONSM.OS._INT.4.1_5_PERCT"</f>
        <v>#N/A</v>
      </c>
      <c r="B975" s="43">
        <f>ROUND(PAGE6!$G$96,5)</f>
        <v>0</v>
      </c>
      <c r="C975" s="43">
        <f>ROUND(PAGE6!$I$96,5)</f>
        <v>0</v>
      </c>
    </row>
    <row r="976" spans="1:3">
      <c r="A976" s="146" t="e">
        <f>$C$1&amp;".E30A.REM.ADJ.CONSM.OS._INT.4.1_5_PERCT"</f>
        <v>#N/A</v>
      </c>
      <c r="B976" s="43">
        <f>ROUND(PAGE6!$K$96,5)</f>
        <v>0</v>
      </c>
      <c r="C976" s="43">
        <f>ROUND(PAGE6!$M$96,5)</f>
        <v>0</v>
      </c>
    </row>
    <row r="977" spans="1:3">
      <c r="A977" s="146" t="e">
        <f>$C$1&amp;".E30A.REM.CONSM.OS._INT.4.1_5_PERCT.TTL"</f>
        <v>#N/A</v>
      </c>
      <c r="B977" s="43">
        <f>ROUND(PAGE6!$P$96,5)</f>
        <v>0</v>
      </c>
      <c r="C977" s="43">
        <f>ROUND(PAGE6!$R$96,5)</f>
        <v>0</v>
      </c>
    </row>
    <row r="978" spans="1:3">
      <c r="A978" s="146" t="e">
        <f>$C$1&amp;".E30A.REM.FR.CONSM.OS._INT.5.1_6_PERCT"</f>
        <v>#N/A</v>
      </c>
      <c r="B978" s="43">
        <f>ROUND(PAGE6!$C$97,5)</f>
        <v>0</v>
      </c>
      <c r="C978" s="43">
        <f>ROUND(PAGE6!$E$97,5)</f>
        <v>0</v>
      </c>
    </row>
    <row r="979" spans="1:3">
      <c r="A979" s="146" t="e">
        <f>$C$1&amp;".E30A.REM.VAR.CONSM.OS._INT.5.1_6_PERCT"</f>
        <v>#N/A</v>
      </c>
      <c r="B979" s="43">
        <f>ROUND(PAGE6!$G$97,5)</f>
        <v>0</v>
      </c>
      <c r="C979" s="43">
        <f>ROUND(PAGE6!$I$97,5)</f>
        <v>0</v>
      </c>
    </row>
    <row r="980" spans="1:3">
      <c r="A980" s="146" t="e">
        <f>$C$1&amp;".E30A.REM.ADJ.CONSM.OS._INT.5.1_6_PERCT"</f>
        <v>#N/A</v>
      </c>
      <c r="B980" s="43">
        <f>ROUND(PAGE6!$K$97,5)</f>
        <v>0</v>
      </c>
      <c r="C980" s="43">
        <f>ROUND(PAGE6!$M$97,5)</f>
        <v>0</v>
      </c>
    </row>
    <row r="981" spans="1:3">
      <c r="A981" s="146" t="e">
        <f>$C$1&amp;".E30A.REM.CONSM.OS._INT.5.1_6_PERCT.TTL"</f>
        <v>#N/A</v>
      </c>
      <c r="B981" s="43">
        <f>ROUND(PAGE6!$P$97,5)</f>
        <v>0</v>
      </c>
      <c r="C981" s="43">
        <f>ROUND(PAGE6!$R$97,5)</f>
        <v>0</v>
      </c>
    </row>
    <row r="982" spans="1:3">
      <c r="A982" s="146" t="e">
        <f>$C$1&amp;".E30A.REM.FR.CONSM.OS._INT.6.1_7_PERCT"</f>
        <v>#N/A</v>
      </c>
      <c r="B982" s="43">
        <f>ROUND(PAGE6!$C$98,5)</f>
        <v>0</v>
      </c>
      <c r="C982" s="43">
        <f>ROUND(PAGE6!$E$98,5)</f>
        <v>0</v>
      </c>
    </row>
    <row r="983" spans="1:3">
      <c r="A983" s="146" t="e">
        <f>$C$1&amp;".E30A.REM.VAR.CONSM.OS._INT.6.1_7_PERCT"</f>
        <v>#N/A</v>
      </c>
      <c r="B983" s="43">
        <f>ROUND(PAGE6!$G$98,5)</f>
        <v>0</v>
      </c>
      <c r="C983" s="43">
        <f>ROUND(PAGE6!$I$98,5)</f>
        <v>0</v>
      </c>
    </row>
    <row r="984" spans="1:3">
      <c r="A984" s="146" t="e">
        <f>$C$1&amp;".E30A.REM.ADJ.CONSM.OS._INT.6.1_7_PERCT"</f>
        <v>#N/A</v>
      </c>
      <c r="B984" s="43">
        <f>ROUND(PAGE6!$K$98,5)</f>
        <v>0</v>
      </c>
      <c r="C984" s="43">
        <f>ROUND(PAGE6!$M$98,5)</f>
        <v>0</v>
      </c>
    </row>
    <row r="985" spans="1:3">
      <c r="A985" s="146" t="e">
        <f>$C$1&amp;".E30A.REM.CONSM.OS._INT.6.1_7_PERCT.TTL"</f>
        <v>#N/A</v>
      </c>
      <c r="B985" s="43">
        <f>ROUND(PAGE6!$P$98,5)</f>
        <v>0</v>
      </c>
      <c r="C985" s="43">
        <f>ROUND(PAGE6!$R$98,5)</f>
        <v>0</v>
      </c>
    </row>
    <row r="986" spans="1:3">
      <c r="A986" s="146" t="e">
        <f>$C$1&amp;".E30A.REM.FR.CONSM.OS._INT.7.1_8_PERCT"</f>
        <v>#N/A</v>
      </c>
      <c r="B986" s="43">
        <f>ROUND(PAGE6!$C$99,5)</f>
        <v>0</v>
      </c>
      <c r="C986" s="43">
        <f>ROUND(PAGE6!$E$99,5)</f>
        <v>0</v>
      </c>
    </row>
    <row r="987" spans="1:3">
      <c r="A987" s="146" t="e">
        <f>$C$1&amp;".E30A.REM.VAR.CONSM.OS._INT.7.1_8_PERCT"</f>
        <v>#N/A</v>
      </c>
      <c r="B987" s="43">
        <f>ROUND(PAGE6!$G$99,5)</f>
        <v>0</v>
      </c>
      <c r="C987" s="43">
        <f>ROUND(PAGE6!$I$99,5)</f>
        <v>0</v>
      </c>
    </row>
    <row r="988" spans="1:3">
      <c r="A988" s="146" t="e">
        <f>$C$1&amp;".E30A.REM.ADJ.CONSM.OS._INT.7.1_8_PERCT"</f>
        <v>#N/A</v>
      </c>
      <c r="B988" s="43">
        <f>ROUND(PAGE6!$K$99,5)</f>
        <v>0</v>
      </c>
      <c r="C988" s="43">
        <f>ROUND(PAGE6!$M$99,5)</f>
        <v>0</v>
      </c>
    </row>
    <row r="989" spans="1:3">
      <c r="A989" s="146" t="e">
        <f>$C$1&amp;".E30A.REM.CONSM.OS._INT.7.1_8_PERCT.TTL"</f>
        <v>#N/A</v>
      </c>
      <c r="B989" s="43">
        <f>ROUND(PAGE6!$P$99,5)</f>
        <v>0</v>
      </c>
      <c r="C989" s="43">
        <f>ROUND(PAGE6!$R$99,5)</f>
        <v>0</v>
      </c>
    </row>
    <row r="990" spans="1:3">
      <c r="A990" s="146" t="e">
        <f>$C$1&amp;".E30A.REM.FR.CONSM.OS._INT.8.1_9_PERCT"</f>
        <v>#N/A</v>
      </c>
      <c r="B990" s="43">
        <f>ROUND(PAGE6!$C$100,5)</f>
        <v>0</v>
      </c>
      <c r="C990" s="43">
        <f>ROUND(PAGE6!$E$100,5)</f>
        <v>0</v>
      </c>
    </row>
    <row r="991" spans="1:3">
      <c r="A991" s="146" t="e">
        <f>$C$1&amp;".E30A.REM.VAR.CONSM.OS._INT.8.1_9_PERCT"</f>
        <v>#N/A</v>
      </c>
      <c r="B991" s="43">
        <f>ROUND(PAGE6!$G$100,5)</f>
        <v>0</v>
      </c>
      <c r="C991" s="43">
        <f>ROUND(PAGE6!$I$100,5)</f>
        <v>0</v>
      </c>
    </row>
    <row r="992" spans="1:3">
      <c r="A992" s="146" t="e">
        <f>$C$1&amp;".E30A.REM.ADJ.CONSM.OS._INT.8.1_9_PERCT"</f>
        <v>#N/A</v>
      </c>
      <c r="B992" s="43">
        <f>ROUND(PAGE6!$K$100,5)</f>
        <v>0</v>
      </c>
      <c r="C992" s="43">
        <f>ROUND(PAGE6!$M$100,5)</f>
        <v>0</v>
      </c>
    </row>
    <row r="993" spans="1:3">
      <c r="A993" s="146" t="e">
        <f>$C$1&amp;".E30A.REM.CONSM.OS._INT.8.1_9_PERCT.TTL"</f>
        <v>#N/A</v>
      </c>
      <c r="B993" s="43">
        <f>ROUND(PAGE6!$P$100,5)</f>
        <v>0</v>
      </c>
      <c r="C993" s="43">
        <f>ROUND(PAGE6!$R$100,5)</f>
        <v>0</v>
      </c>
    </row>
    <row r="994" spans="1:3">
      <c r="A994" s="146" t="e">
        <f>$C$1&amp;".E30A.REM.FR.CONSM.OS._INT.9.1_10_PERCT"</f>
        <v>#N/A</v>
      </c>
      <c r="B994" s="43">
        <f>ROUND(PAGE6!$C$101,5)</f>
        <v>0</v>
      </c>
      <c r="C994" s="43">
        <f>ROUND(PAGE6!$E$101,5)</f>
        <v>0</v>
      </c>
    </row>
    <row r="995" spans="1:3">
      <c r="A995" s="146" t="e">
        <f>$C$1&amp;".E30A.REM.VAR.CONSM.OS._INT.9.1_10_PERCT"</f>
        <v>#N/A</v>
      </c>
      <c r="B995" s="43">
        <f>ROUND(PAGE6!$G$101,5)</f>
        <v>0</v>
      </c>
      <c r="C995" s="43">
        <f>ROUND(PAGE6!$I$101,5)</f>
        <v>0</v>
      </c>
    </row>
    <row r="996" spans="1:3">
      <c r="A996" s="146" t="e">
        <f>$C$1&amp;".E30A.REM.ADJ.CONSM.OS._INT.9.1_10_PERCT"</f>
        <v>#N/A</v>
      </c>
      <c r="B996" s="43">
        <f>ROUND(PAGE6!$K$101,5)</f>
        <v>0</v>
      </c>
      <c r="C996" s="43">
        <f>ROUND(PAGE6!$M$101,5)</f>
        <v>0</v>
      </c>
    </row>
    <row r="997" spans="1:3">
      <c r="A997" s="146" t="e">
        <f>$C$1&amp;".E30A.REM.CONSM.OS._INT.9.1_10_PERCT.TTL"</f>
        <v>#N/A</v>
      </c>
      <c r="B997" s="43">
        <f>ROUND(PAGE6!$P$101,5)</f>
        <v>0</v>
      </c>
      <c r="C997" s="43">
        <f>ROUND(PAGE6!$R$101,5)</f>
        <v>0</v>
      </c>
    </row>
    <row r="998" spans="1:3">
      <c r="A998" s="146" t="e">
        <f>$C$1&amp;".E30A.REM.FR.CONSM.OS._INT.10.1_11_PERCT"</f>
        <v>#N/A</v>
      </c>
      <c r="B998" s="43">
        <f>ROUND(PAGE6!$C$102,5)</f>
        <v>0</v>
      </c>
      <c r="C998" s="43">
        <f>ROUND(PAGE6!$E$102,5)</f>
        <v>0</v>
      </c>
    </row>
    <row r="999" spans="1:3">
      <c r="A999" s="146" t="e">
        <f>$C$1&amp;".E30A.REM.VAR.CONSM.OS._INT.10.1_11_PERCT"</f>
        <v>#N/A</v>
      </c>
      <c r="B999" s="43">
        <f>ROUND(PAGE6!$G$102,5)</f>
        <v>0</v>
      </c>
      <c r="C999" s="43">
        <f>ROUND(PAGE6!$I$102,5)</f>
        <v>0</v>
      </c>
    </row>
    <row r="1000" spans="1:3">
      <c r="A1000" s="146" t="e">
        <f>$C$1&amp;".E30A.REM.ADJ.CONSM.OS._INT.10.1_11_PERCT"</f>
        <v>#N/A</v>
      </c>
      <c r="B1000" s="43">
        <f>ROUND(PAGE6!$K$102,5)</f>
        <v>0</v>
      </c>
      <c r="C1000" s="43">
        <f>ROUND(PAGE6!$M$102,5)</f>
        <v>0</v>
      </c>
    </row>
    <row r="1001" spans="1:3">
      <c r="A1001" s="146" t="e">
        <f>$C$1&amp;".E30A.REM.CONSM.OS._INT.10.1_11_PERCT.TTL"</f>
        <v>#N/A</v>
      </c>
      <c r="B1001" s="43">
        <f>ROUND(PAGE6!$P$102,5)</f>
        <v>0</v>
      </c>
      <c r="C1001" s="43">
        <f>ROUND(PAGE6!$R$102,5)</f>
        <v>0</v>
      </c>
    </row>
    <row r="1002" spans="1:3">
      <c r="A1002" s="146" t="e">
        <f>$C$1&amp;".E30A.REM.FR.CONSM.OS._INT.11.1_12_PERCT"</f>
        <v>#N/A</v>
      </c>
      <c r="B1002" s="43">
        <f>ROUND(PAGE6!$C$103,5)</f>
        <v>0</v>
      </c>
      <c r="C1002" s="43">
        <f>ROUND(PAGE6!$E$103,5)</f>
        <v>0</v>
      </c>
    </row>
    <row r="1003" spans="1:3">
      <c r="A1003" s="146" t="e">
        <f>$C$1&amp;".E30A.REM.VAR.CONSM.OS._INT.11.1_12_PERCT"</f>
        <v>#N/A</v>
      </c>
      <c r="B1003" s="43">
        <f>ROUND(PAGE6!$G$103,5)</f>
        <v>0</v>
      </c>
      <c r="C1003" s="43">
        <f>ROUND(PAGE6!$I$103,5)</f>
        <v>0</v>
      </c>
    </row>
    <row r="1004" spans="1:3">
      <c r="A1004" s="146" t="e">
        <f>$C$1&amp;".E30A.REM.ADJ.CONSM.OS._INT.11.1_12_PERCT"</f>
        <v>#N/A</v>
      </c>
      <c r="B1004" s="43">
        <f>ROUND(PAGE6!$K$103,5)</f>
        <v>0</v>
      </c>
      <c r="C1004" s="43">
        <f>ROUND(PAGE6!$M$103,5)</f>
        <v>0</v>
      </c>
    </row>
    <row r="1005" spans="1:3">
      <c r="A1005" s="146" t="e">
        <f>$C$1&amp;".E30A.REM.CONSM.OS._INT.11.1_12_PERCT.TTL"</f>
        <v>#N/A</v>
      </c>
      <c r="B1005" s="43">
        <f>ROUND(PAGE6!$P$103,5)</f>
        <v>0</v>
      </c>
      <c r="C1005" s="43">
        <f>ROUND(PAGE6!$R$103,5)</f>
        <v>0</v>
      </c>
    </row>
    <row r="1006" spans="1:3">
      <c r="A1006" s="146" t="e">
        <f>$C$1&amp;".E30A.REM.FR.CONSM.OS._INT.12.1_13_PERCT"</f>
        <v>#N/A</v>
      </c>
      <c r="B1006" s="43">
        <f>ROUND(PAGE6!$C$104,5)</f>
        <v>0</v>
      </c>
      <c r="C1006" s="43">
        <f>ROUND(PAGE6!$E$104,5)</f>
        <v>0</v>
      </c>
    </row>
    <row r="1007" spans="1:3">
      <c r="A1007" s="146" t="e">
        <f>$C$1&amp;".E30A.REM.VAR.CONSM.OS._INT.12.1_13_PERCT"</f>
        <v>#N/A</v>
      </c>
      <c r="B1007" s="43">
        <f>ROUND(PAGE6!$G$104,5)</f>
        <v>0</v>
      </c>
      <c r="C1007" s="43">
        <f>ROUND(PAGE6!$I$104,5)</f>
        <v>0</v>
      </c>
    </row>
    <row r="1008" spans="1:3">
      <c r="A1008" s="146" t="e">
        <f>$C$1&amp;".E30A.REM.ADJ.CONSM.OS._INT.12.1_13_PERCT"</f>
        <v>#N/A</v>
      </c>
      <c r="B1008" s="43">
        <f>ROUND(PAGE6!$K$104,5)</f>
        <v>0</v>
      </c>
      <c r="C1008" s="43">
        <f>ROUND(PAGE6!$M$104,5)</f>
        <v>0</v>
      </c>
    </row>
    <row r="1009" spans="1:3">
      <c r="A1009" s="146" t="e">
        <f>$C$1&amp;".E30A.REM.CONSM.OS._INT.12.1_13_PERCT.TTL"</f>
        <v>#N/A</v>
      </c>
      <c r="B1009" s="43">
        <f>ROUND(PAGE6!$P$104,5)</f>
        <v>0</v>
      </c>
      <c r="C1009" s="43">
        <f>ROUND(PAGE6!$R$104,5)</f>
        <v>0</v>
      </c>
    </row>
    <row r="1010" spans="1:3">
      <c r="A1010" s="146" t="e">
        <f>$C$1&amp;".E30A.REM.FR.CONSM.OS._INT.13.1_14_PERCT"</f>
        <v>#N/A</v>
      </c>
      <c r="B1010" s="43">
        <f>ROUND(PAGE6!$C$105,5)</f>
        <v>0</v>
      </c>
      <c r="C1010" s="43">
        <f>ROUND(PAGE6!$E$105,5)</f>
        <v>0</v>
      </c>
    </row>
    <row r="1011" spans="1:3">
      <c r="A1011" s="146" t="e">
        <f>$C$1&amp;".E30A.REM.VAR.CONSM.OS._INT.13.1_14_PERCT"</f>
        <v>#N/A</v>
      </c>
      <c r="B1011" s="43">
        <f>ROUND(PAGE6!$G$105,5)</f>
        <v>0</v>
      </c>
      <c r="C1011" s="43">
        <f>ROUND(PAGE6!$I$105,5)</f>
        <v>0</v>
      </c>
    </row>
    <row r="1012" spans="1:3">
      <c r="A1012" s="146" t="e">
        <f>$C$1&amp;".E30A.REM.ADJ.CONSM.OS._INT.13.1_14_PERCT"</f>
        <v>#N/A</v>
      </c>
      <c r="B1012" s="43">
        <f>ROUND(PAGE6!$K$105,5)</f>
        <v>0</v>
      </c>
      <c r="C1012" s="43">
        <f>ROUND(PAGE6!$M$105,5)</f>
        <v>0</v>
      </c>
    </row>
    <row r="1013" spans="1:3">
      <c r="A1013" s="146" t="e">
        <f>$C$1&amp;".E30A.REM.CONSM.OS._INT.13.1_14_PERCT.TTL"</f>
        <v>#N/A</v>
      </c>
      <c r="B1013" s="43">
        <f>ROUND(PAGE6!$P$105,5)</f>
        <v>0</v>
      </c>
      <c r="C1013" s="43">
        <f>ROUND(PAGE6!$R$105,5)</f>
        <v>0</v>
      </c>
    </row>
    <row r="1014" spans="1:3">
      <c r="A1014" s="146" t="e">
        <f>$C$1&amp;".E30A.REM.FR.CONSM.OS._INT.14.1_15_PERCT"</f>
        <v>#N/A</v>
      </c>
      <c r="B1014" s="43">
        <f>ROUND(PAGE6!$C$106,5)</f>
        <v>0</v>
      </c>
      <c r="C1014" s="43">
        <f>ROUND(PAGE6!$E$106,5)</f>
        <v>0</v>
      </c>
    </row>
    <row r="1015" spans="1:3">
      <c r="A1015" s="146" t="e">
        <f>$C$1&amp;".E30A.REM.VAR.CONSM.OS._INT.14.1_15_PERCT"</f>
        <v>#N/A</v>
      </c>
      <c r="B1015" s="43">
        <f>ROUND(PAGE6!$G$106,5)</f>
        <v>0</v>
      </c>
      <c r="C1015" s="43">
        <f>ROUND(PAGE6!$I$106,5)</f>
        <v>0</v>
      </c>
    </row>
    <row r="1016" spans="1:3">
      <c r="A1016" s="146" t="e">
        <f>$C$1&amp;".E30A.REM.ADJ.CONSM.OS._INT.14.1_15_PERCT"</f>
        <v>#N/A</v>
      </c>
      <c r="B1016" s="43">
        <f>ROUND(PAGE6!$K$106,5)</f>
        <v>0</v>
      </c>
      <c r="C1016" s="43">
        <f>ROUND(PAGE6!$M$106,5)</f>
        <v>0</v>
      </c>
    </row>
    <row r="1017" spans="1:3">
      <c r="A1017" s="146" t="e">
        <f>$C$1&amp;".E30A.REM.CONSM.OS._INT.14.1_15_PERCT.TTL"</f>
        <v>#N/A</v>
      </c>
      <c r="B1017" s="43">
        <f>ROUND(PAGE6!$P$106,5)</f>
        <v>0</v>
      </c>
      <c r="C1017" s="43">
        <f>ROUND(PAGE6!$R$106,5)</f>
        <v>0</v>
      </c>
    </row>
    <row r="1018" spans="1:3">
      <c r="A1018" s="146" t="e">
        <f>$C$1&amp;".E30A.REM.FR.CONSM.OS._INT.OVR_15.1_PERCT"</f>
        <v>#N/A</v>
      </c>
      <c r="B1018" s="43">
        <f>ROUND(PAGE6!$C$107,5)</f>
        <v>0</v>
      </c>
      <c r="C1018" s="43">
        <f>ROUND(PAGE6!$E$107,5)</f>
        <v>0</v>
      </c>
    </row>
    <row r="1019" spans="1:3">
      <c r="A1019" s="146" t="e">
        <f>$C$1&amp;".E30A.REM.VAR.CONSM.OS._INT.OVR_15.1_PERCT"</f>
        <v>#N/A</v>
      </c>
      <c r="B1019" s="43">
        <f>ROUND(PAGE6!$G$107,5)</f>
        <v>0</v>
      </c>
      <c r="C1019" s="43">
        <f>ROUND(PAGE6!$I$107,5)</f>
        <v>0</v>
      </c>
    </row>
    <row r="1020" spans="1:3">
      <c r="A1020" s="146" t="e">
        <f>$C$1&amp;".E30A.REM.ADJ.CONSM.OS._INT.OVR_15.1_PERCT"</f>
        <v>#N/A</v>
      </c>
      <c r="B1020" s="43">
        <f>ROUND(PAGE6!$K$107,5)</f>
        <v>0</v>
      </c>
      <c r="C1020" s="43">
        <f>ROUND(PAGE6!$M$107,5)</f>
        <v>0</v>
      </c>
    </row>
    <row r="1021" spans="1:3">
      <c r="A1021" s="146" t="e">
        <f>$C$1&amp;".E30A.REM.CONSM.OS._INT.OVR_15.1_PERCT.TTL"</f>
        <v>#N/A</v>
      </c>
      <c r="B1021" s="43">
        <f>ROUND(PAGE6!$P$107,5)</f>
        <v>0</v>
      </c>
      <c r="C1021" s="43">
        <f>ROUND(PAGE6!$R$107,5)</f>
        <v>0</v>
      </c>
    </row>
    <row r="1022" spans="1:3">
      <c r="A1022" s="146" t="e">
        <f>$C$1&amp;".E30A.REM.CONSM.OS.TTL."</f>
        <v>#N/A</v>
      </c>
      <c r="B1022" s="43">
        <f>ROUND(PAGE6!P109,5)</f>
        <v>0</v>
      </c>
      <c r="C1022" s="43">
        <f>ROUND(PAGE6!R109,5)</f>
        <v>0</v>
      </c>
    </row>
    <row r="1023" spans="1:3">
      <c r="A1023" s="152" t="e">
        <f>$C$1&amp;".E30A.REM.FR.OS.TTL.."</f>
        <v>#N/A</v>
      </c>
      <c r="B1023" s="43">
        <f>ROUND(PAGE6!$C$111,5)</f>
        <v>0</v>
      </c>
      <c r="C1023" s="43">
        <f>ROUND(PAGE6!$E$111,5)</f>
        <v>0</v>
      </c>
    </row>
    <row r="1024" spans="1:3">
      <c r="A1024" s="152" t="e">
        <f>$C$1&amp;".E30A.REM.VAR.OS.TTL.."</f>
        <v>#N/A</v>
      </c>
      <c r="B1024" s="43">
        <f>ROUND(PAGE6!$G$111,5)</f>
        <v>0</v>
      </c>
      <c r="C1024" s="43">
        <f>ROUND(PAGE6!$I$111,5)</f>
        <v>0</v>
      </c>
    </row>
    <row r="1025" spans="1:3">
      <c r="A1025" s="152" t="e">
        <f>$C$1&amp;".E30A.REM.ADJ.OS.TTL.."</f>
        <v>#N/A</v>
      </c>
      <c r="B1025" s="43">
        <f>ROUND(PAGE6!$K$111,5)</f>
        <v>0</v>
      </c>
      <c r="C1025" s="43">
        <f>ROUND(PAGE6!$M$111,5)</f>
        <v>0</v>
      </c>
    </row>
    <row r="1026" spans="1:3">
      <c r="A1026" s="152" t="e">
        <f>$C$1&amp;".E30A.REM.OS.SEC_TYPE.AGG_TTL.."</f>
        <v>#N/A</v>
      </c>
      <c r="B1026" s="43">
        <f>ROUND(PAGE6!$P$111,5)</f>
        <v>0</v>
      </c>
      <c r="C1026" s="43">
        <f>ROUND(PAGE6!$R$111,5)</f>
        <v>0</v>
      </c>
    </row>
    <row r="1027" spans="1:3">
      <c r="A1027" s="153" t="s">
        <v>168</v>
      </c>
      <c r="B1027" s="43" t="s">
        <v>115</v>
      </c>
      <c r="C1027" s="43" t="s">
        <v>116</v>
      </c>
    </row>
    <row r="1028" spans="1:3">
      <c r="A1028" s="146" t="e">
        <f>$C$1&amp;".E30A.REM.FR..PER.5YRS.NEW"</f>
        <v>#N/A</v>
      </c>
      <c r="B1028" s="43">
        <f>ROUND(PAGE7!$C$14,5)</f>
        <v>0</v>
      </c>
      <c r="C1028" s="43">
        <f>ROUND(PAGE7!$E$14,5)</f>
        <v>0</v>
      </c>
    </row>
    <row r="1029" spans="1:3">
      <c r="A1029" s="146" t="e">
        <f>$C$1&amp;".E30A.REM.VAR..PER.5YRS.NEW"</f>
        <v>#N/A</v>
      </c>
      <c r="B1029" s="43">
        <f>ROUND(PAGE7!$G$14,5)</f>
        <v>0</v>
      </c>
      <c r="C1029" s="43">
        <f>ROUND(PAGE7!$I$14,5)</f>
        <v>0</v>
      </c>
    </row>
    <row r="1030" spans="1:3">
      <c r="A1030" s="146" t="e">
        <f>$C$1&amp;".E30A.REM.ADJ..PER.5YRS.NEW"</f>
        <v>#N/A</v>
      </c>
      <c r="B1030" s="43">
        <f>ROUND(PAGE7!$K$14,5)</f>
        <v>0</v>
      </c>
      <c r="C1030" s="43">
        <f>ROUND(PAGE7!$M$14,5)</f>
        <v>0</v>
      </c>
    </row>
    <row r="1031" spans="1:3">
      <c r="A1031" s="146" t="e">
        <f>$C$1&amp;".E30A.REM..PER.5YRS.NEW.TTL"</f>
        <v>#N/A</v>
      </c>
      <c r="B1031" s="43">
        <f>ROUND(PAGE7!$P$14,5)</f>
        <v>0</v>
      </c>
      <c r="C1031" s="43">
        <f>ROUND(PAGE7!$R$14,5)</f>
        <v>0</v>
      </c>
    </row>
    <row r="1032" spans="1:3">
      <c r="A1032" s="146" t="e">
        <f>$C$1&amp;".E30A.REM.FR.PER.5TO10YRS.NEW."</f>
        <v>#N/A</v>
      </c>
      <c r="B1032" s="43">
        <f>ROUND(PAGE7!$C$16,5)</f>
        <v>0</v>
      </c>
      <c r="C1032" s="43">
        <f>ROUND(PAGE7!$E$16,5)</f>
        <v>0</v>
      </c>
    </row>
    <row r="1033" spans="1:3">
      <c r="A1033" s="146" t="e">
        <f>$C$1&amp;".E30A.REM.VAR.PER.5TO10YRS.NEW."</f>
        <v>#N/A</v>
      </c>
      <c r="B1033" s="43">
        <f>ROUND(PAGE7!$G$16,5)</f>
        <v>0</v>
      </c>
      <c r="C1033" s="43">
        <f>ROUND(PAGE7!$I$16,5)</f>
        <v>0</v>
      </c>
    </row>
    <row r="1034" spans="1:3">
      <c r="A1034" s="146" t="e">
        <f>$C$1&amp;".E30A.REM.ADJ.PER.5TO10YRS.NEW."</f>
        <v>#N/A</v>
      </c>
      <c r="B1034" s="43">
        <f>ROUND(PAGE7!$K$16,5)</f>
        <v>0</v>
      </c>
      <c r="C1034" s="43">
        <f>ROUND(PAGE7!$M$16,5)</f>
        <v>0</v>
      </c>
    </row>
    <row r="1035" spans="1:3">
      <c r="A1035" s="146" t="e">
        <f>$C$1&amp;".E30A.REM.PER.5TO10YRS.NEW.TTL."</f>
        <v>#N/A</v>
      </c>
      <c r="B1035" s="43">
        <f>ROUND(PAGE7!$P$16,5)</f>
        <v>0</v>
      </c>
      <c r="C1035" s="43">
        <f>ROUND(PAGE7!$R$16,5)</f>
        <v>0</v>
      </c>
    </row>
    <row r="1036" spans="1:3">
      <c r="A1036" s="146" t="e">
        <f>$C$1&amp;".E30A.REM.FR.PER.10TO15YRS.NEW."</f>
        <v>#N/A</v>
      </c>
      <c r="B1036" s="43">
        <f>ROUND(PAGE7!$C$18,5)</f>
        <v>0</v>
      </c>
      <c r="C1036" s="43">
        <f>ROUND(PAGE7!$E$18,5)</f>
        <v>0</v>
      </c>
    </row>
    <row r="1037" spans="1:3">
      <c r="A1037" s="146" t="e">
        <f>$C$1&amp;".E30A.REM.VAR.PER.10TO15YRS.NEW."</f>
        <v>#N/A</v>
      </c>
      <c r="B1037" s="43">
        <f>ROUND(PAGE7!$G$18,5)</f>
        <v>0</v>
      </c>
      <c r="C1037" s="43">
        <f>ROUND(PAGE7!$I$18,5)</f>
        <v>0</v>
      </c>
    </row>
    <row r="1038" spans="1:3">
      <c r="A1038" s="146" t="e">
        <f>$C$1&amp;".E30A.REM.ADJ.PER.10TO15YRS.NEW."</f>
        <v>#N/A</v>
      </c>
      <c r="B1038" s="43">
        <f>ROUND(PAGE7!$K$18,5)</f>
        <v>0</v>
      </c>
      <c r="C1038" s="43">
        <f>ROUND(PAGE7!$M$18,5)</f>
        <v>0</v>
      </c>
    </row>
    <row r="1039" spans="1:3">
      <c r="A1039" s="146" t="e">
        <f>$C$1&amp;".E30A.REM.PER.10TO15YRS.NEW.TTL."</f>
        <v>#N/A</v>
      </c>
      <c r="B1039" s="43">
        <f>ROUND(PAGE7!$P$18,5)</f>
        <v>0</v>
      </c>
      <c r="C1039" s="43">
        <f>ROUND(PAGE7!$R$18,5)</f>
        <v>0</v>
      </c>
    </row>
    <row r="1040" spans="1:3">
      <c r="A1040" s="146" t="e">
        <f>$C$1&amp;".E30A.REM.FR.PER.15TO20YRS.NEW."</f>
        <v>#N/A</v>
      </c>
      <c r="B1040" s="43">
        <f>ROUND(PAGE7!$C$20,5)</f>
        <v>0</v>
      </c>
      <c r="C1040" s="43">
        <f>ROUND(PAGE7!$E$20,5)</f>
        <v>0</v>
      </c>
    </row>
    <row r="1041" spans="1:3">
      <c r="A1041" s="146" t="e">
        <f>$C$1&amp;".E30A.REM.VAR.PER.15TO20YRS.NEW."</f>
        <v>#N/A</v>
      </c>
      <c r="B1041" s="43">
        <f>ROUND(PAGE7!$G$20,5)</f>
        <v>0</v>
      </c>
      <c r="C1041" s="43">
        <f>ROUND(PAGE7!$I$20,5)</f>
        <v>0</v>
      </c>
    </row>
    <row r="1042" spans="1:3">
      <c r="A1042" s="146" t="e">
        <f>$C$1&amp;".E30A.REM.ADJ.PER.15TO20YRS.NEW."</f>
        <v>#N/A</v>
      </c>
      <c r="B1042" s="43">
        <f>ROUND(PAGE7!$K$20,5)</f>
        <v>0</v>
      </c>
      <c r="C1042" s="43">
        <f>ROUND(PAGE7!$M$20,5)</f>
        <v>0</v>
      </c>
    </row>
    <row r="1043" spans="1:3">
      <c r="A1043" s="146" t="e">
        <f>$C$1&amp;".E30A.REM.PER.15TO20YRS.NEW.TTL."</f>
        <v>#N/A</v>
      </c>
      <c r="B1043" s="43">
        <f>ROUND(PAGE7!$P$20,5)</f>
        <v>0</v>
      </c>
      <c r="C1043" s="43">
        <f>ROUND(PAGE7!$R$20,5)</f>
        <v>0</v>
      </c>
    </row>
    <row r="1044" spans="1:3">
      <c r="A1044" s="146" t="e">
        <f>$C$1&amp;".E30A.REM.FR.PER.20TO25YRS.NEW."</f>
        <v>#N/A</v>
      </c>
      <c r="B1044" s="43">
        <f>ROUND(PAGE7!$C$22,5)</f>
        <v>0</v>
      </c>
      <c r="C1044" s="43">
        <f>ROUND(PAGE7!$E$22,5)</f>
        <v>0</v>
      </c>
    </row>
    <row r="1045" spans="1:3">
      <c r="A1045" s="146" t="e">
        <f>$C$1&amp;".E30A.REM.VAR.PER.20TO25YRS.NEW."</f>
        <v>#N/A</v>
      </c>
      <c r="B1045" s="43">
        <f>ROUND(PAGE7!$G$22,5)</f>
        <v>0</v>
      </c>
      <c r="C1045" s="43">
        <f>ROUND(PAGE7!$I$22,5)</f>
        <v>0</v>
      </c>
    </row>
    <row r="1046" spans="1:3">
      <c r="A1046" s="146" t="e">
        <f>$C$1&amp;".E30A.REM.ADJ.PER.20TO25YRS.NEW."</f>
        <v>#N/A</v>
      </c>
      <c r="B1046" s="43">
        <f>ROUND(PAGE7!$K$22,5)</f>
        <v>0</v>
      </c>
      <c r="C1046" s="43">
        <f>ROUND(PAGE7!$M$22,5)</f>
        <v>0</v>
      </c>
    </row>
    <row r="1047" spans="1:3">
      <c r="A1047" s="146" t="e">
        <f>$C$1&amp;".E30A.REM.PER.20TO25YRS.NEW.TTL."</f>
        <v>#N/A</v>
      </c>
      <c r="B1047" s="43">
        <f>ROUND(PAGE7!$P$22,5)</f>
        <v>0</v>
      </c>
      <c r="C1047" s="43">
        <f>ROUND(PAGE7!$R$22,5)</f>
        <v>0</v>
      </c>
    </row>
    <row r="1048" spans="1:3">
      <c r="A1048" s="146" t="e">
        <f>$C$1&amp;".E30A.REM.FR.PER.25TO30YRS.NEW."</f>
        <v>#N/A</v>
      </c>
      <c r="B1048" s="43">
        <f>ROUND(PAGE7!$C$24,5)</f>
        <v>0</v>
      </c>
      <c r="C1048" s="43">
        <f>ROUND(PAGE7!$E$24,5)</f>
        <v>0</v>
      </c>
    </row>
    <row r="1049" spans="1:3">
      <c r="A1049" s="146" t="e">
        <f>$C$1&amp;".E30A.REM.VAR.PER.25TO30YRS.NEW."</f>
        <v>#N/A</v>
      </c>
      <c r="B1049" s="43">
        <f>ROUND(PAGE7!$G$24,5)</f>
        <v>0</v>
      </c>
      <c r="C1049" s="43">
        <f>ROUND(PAGE7!$I$24,5)</f>
        <v>0</v>
      </c>
    </row>
    <row r="1050" spans="1:3">
      <c r="A1050" s="146" t="e">
        <f>$C$1&amp;".E30A.REM.ADJ.PER.25TO30YRS.NEW."</f>
        <v>#N/A</v>
      </c>
      <c r="B1050" s="43">
        <f>ROUND(PAGE7!$K$24,5)</f>
        <v>0</v>
      </c>
      <c r="C1050" s="43">
        <f>ROUND(PAGE7!$M$24,5)</f>
        <v>0</v>
      </c>
    </row>
    <row r="1051" spans="1:3">
      <c r="A1051" s="146" t="e">
        <f>$C$1&amp;".E30A.REM.PER.25TO30YRS.NEW.TTL."</f>
        <v>#N/A</v>
      </c>
      <c r="B1051" s="43">
        <f>ROUND(PAGE7!$P$24,5)</f>
        <v>0</v>
      </c>
      <c r="C1051" s="43">
        <f>ROUND(PAGE7!$R$24,5)</f>
        <v>0</v>
      </c>
    </row>
    <row r="1052" spans="1:3">
      <c r="A1052" s="146" t="e">
        <f>$C$1&amp;".E30A.REM.FR.PER.OVR30YRS.NEW."</f>
        <v>#N/A</v>
      </c>
      <c r="B1052" s="43">
        <f>ROUND(PAGE7!$C$26,5)</f>
        <v>0</v>
      </c>
      <c r="C1052" s="43">
        <f>ROUND(PAGE7!$E$26,5)</f>
        <v>0</v>
      </c>
    </row>
    <row r="1053" spans="1:3">
      <c r="A1053" s="146" t="e">
        <f>$C$1&amp;".E30A.REM.VAR.PER.OVR30YRS.NEW."</f>
        <v>#N/A</v>
      </c>
      <c r="B1053" s="43">
        <f>ROUND(PAGE7!$G$26,5)</f>
        <v>0</v>
      </c>
      <c r="C1053" s="43">
        <f>ROUND(PAGE7!$I$26,5)</f>
        <v>0</v>
      </c>
    </row>
    <row r="1054" spans="1:3">
      <c r="A1054" s="146" t="e">
        <f>$C$1&amp;".E30A.REM.ADJ.PER.OVR30YRS.NEW."</f>
        <v>#N/A</v>
      </c>
      <c r="B1054" s="43">
        <f>ROUND(PAGE7!$K$26,5)</f>
        <v>0</v>
      </c>
      <c r="C1054" s="43">
        <f>ROUND(PAGE7!$M$26,5)</f>
        <v>0</v>
      </c>
    </row>
    <row r="1055" spans="1:3">
      <c r="A1055" s="146" t="e">
        <f>$C$1&amp;".E30A.REM.PER.OVR30YRS.NEW.TTL."</f>
        <v>#N/A</v>
      </c>
      <c r="B1055" s="43">
        <f>ROUND(PAGE7!$P$26,5)</f>
        <v>0</v>
      </c>
      <c r="C1055" s="43">
        <f>ROUND(PAGE7!$R$26,5)</f>
        <v>0</v>
      </c>
    </row>
    <row r="1056" spans="1:3">
      <c r="A1056" s="146" t="e">
        <f>$C$1&amp;".E30A.REM.FR.PER.MAX_PER.NEW."</f>
        <v>#N/A</v>
      </c>
      <c r="B1056" s="43">
        <f>ROUND(PAGE7!$C$28,5)</f>
        <v>0</v>
      </c>
      <c r="C1056" s="43">
        <f>ROUND(PAGE7!$E$28,5)</f>
        <v>0</v>
      </c>
    </row>
    <row r="1057" spans="1:3">
      <c r="A1057" s="146" t="e">
        <f>$C$1&amp;".E30A.REM.VAR.PER.MAX_PER.NEW."</f>
        <v>#N/A</v>
      </c>
      <c r="B1057" s="43">
        <f>ROUND(PAGE7!$G$28,5)</f>
        <v>0</v>
      </c>
      <c r="C1057" s="43">
        <f>ROUND(PAGE7!$I$28,5)</f>
        <v>0</v>
      </c>
    </row>
    <row r="1058" spans="1:3">
      <c r="A1058" s="146" t="e">
        <f>$C$1&amp;".E30A.REM.ADJ.PER.MAX_PER.NEW."</f>
        <v>#N/A</v>
      </c>
      <c r="B1058" s="43">
        <f>ROUND(PAGE7!$K$28,5)</f>
        <v>0</v>
      </c>
      <c r="C1058" s="43">
        <f>ROUND(PAGE7!$M$28,5)</f>
        <v>0</v>
      </c>
    </row>
    <row r="1059" spans="1:3">
      <c r="A1059" s="146" t="e">
        <f>$C$1&amp;".E30A.REM.PER.MAX_PER.NEW.TTL."</f>
        <v>#N/A</v>
      </c>
      <c r="B1059" s="43">
        <f>ROUND(PAGE7!$P$28,5)</f>
        <v>0</v>
      </c>
      <c r="C1059" s="43">
        <f>ROUND(PAGE7!$R$28,5)</f>
        <v>0</v>
      </c>
    </row>
    <row r="1060" spans="1:3">
      <c r="A1060" s="146" t="e">
        <f>$C$1&amp;".E30A.REM.FR.PER.UNSPEC.NEW."</f>
        <v>#N/A</v>
      </c>
      <c r="B1060" s="43">
        <f>ROUND(PAGE7!$C$30,5)</f>
        <v>0</v>
      </c>
      <c r="C1060" s="43">
        <f>ROUND(PAGE7!$E$30,5)</f>
        <v>0</v>
      </c>
    </row>
    <row r="1061" spans="1:3">
      <c r="A1061" s="146" t="e">
        <f>$C$1&amp;".E30A.REM.VAR.PER.UNSPEC.NEW."</f>
        <v>#N/A</v>
      </c>
      <c r="B1061" s="43">
        <f>ROUND(PAGE7!$G$30,5)</f>
        <v>0</v>
      </c>
      <c r="C1061" s="43">
        <f>ROUND(PAGE7!$I$30,5)</f>
        <v>0</v>
      </c>
    </row>
    <row r="1062" spans="1:3">
      <c r="A1062" s="146" t="e">
        <f>$C$1&amp;".E30A.REM.ADJ.PER.UNSPEC.NEW."</f>
        <v>#N/A</v>
      </c>
      <c r="B1062" s="43">
        <f>ROUND(PAGE7!$K$30,5)</f>
        <v>0</v>
      </c>
      <c r="C1062" s="43">
        <f>ROUND(PAGE7!$M$30,5)</f>
        <v>0</v>
      </c>
    </row>
    <row r="1063" spans="1:3">
      <c r="A1063" s="146" t="e">
        <f>$C$1&amp;".E30A.REM.PER.UNSPEC.NEW.TTL."</f>
        <v>#N/A</v>
      </c>
      <c r="B1063" s="43">
        <f>ROUND(PAGE7!$P$30,5)</f>
        <v>0</v>
      </c>
      <c r="C1063" s="43">
        <f>ROUND(PAGE7!$R$30,5)</f>
        <v>0</v>
      </c>
    </row>
    <row r="1064" spans="1:3">
      <c r="A1064" s="152" t="e">
        <f>$C$1&amp;".E30A.REM.FR.NEW.TTL.."</f>
        <v>#N/A</v>
      </c>
      <c r="B1064" s="43">
        <f>ROUND(PAGE7!C32,5)</f>
        <v>0</v>
      </c>
      <c r="C1064" s="43">
        <f>ROUND(PAGE7!$E$32,5)</f>
        <v>0</v>
      </c>
    </row>
    <row r="1065" spans="1:3">
      <c r="A1065" s="152" t="e">
        <f>$C$1&amp;".E30A.REM.VAR.NEW.TTL.."</f>
        <v>#N/A</v>
      </c>
      <c r="B1065" s="43">
        <f>ROUND(PAGE7!G32,5)</f>
        <v>0</v>
      </c>
      <c r="C1065" s="43">
        <f>ROUND(PAGE7!$I$32,5)</f>
        <v>0</v>
      </c>
    </row>
    <row r="1066" spans="1:3">
      <c r="A1066" s="152" t="e">
        <f>$C$1&amp;".E30A.REM.ADJ.NEW.TTL.."</f>
        <v>#N/A</v>
      </c>
      <c r="B1066" s="43">
        <f>ROUND(PAGE7!K32,5)</f>
        <v>0</v>
      </c>
      <c r="C1066" s="43">
        <f>ROUND(PAGE7!$M$32,5)</f>
        <v>0</v>
      </c>
    </row>
    <row r="1067" spans="1:3">
      <c r="A1067" s="153" t="s">
        <v>169</v>
      </c>
      <c r="B1067" s="43" t="s">
        <v>116</v>
      </c>
      <c r="C1067" s="43"/>
    </row>
    <row r="1068" spans="1:3">
      <c r="A1068" s="146" t="e">
        <f>$C$1&amp;".E30A.REM.NEW.AGG_TTL..."</f>
        <v>#N/A</v>
      </c>
      <c r="B1068" s="43">
        <f>ROUND(PAGE7!$R$32,5)</f>
        <v>0</v>
      </c>
      <c r="C1068" s="43"/>
    </row>
    <row r="1069" spans="1:3">
      <c r="A1069" s="153" t="s">
        <v>170</v>
      </c>
      <c r="B1069" s="43" t="s">
        <v>163</v>
      </c>
      <c r="C1069" s="43"/>
    </row>
    <row r="1070" spans="1:3">
      <c r="A1070" s="146" t="e">
        <f>$C$1&amp;".E30A.REM.FR.PBSEC.APPR.L."</f>
        <v>#N/A</v>
      </c>
      <c r="B1070" s="77">
        <f>ROUND(PAGE8!$C$19,5)</f>
        <v>0</v>
      </c>
      <c r="C1070" s="43"/>
    </row>
    <row r="1071" spans="1:3">
      <c r="A1071" s="146" t="e">
        <f>$C$1&amp;".E30A.REM.FR.PBSEC.APPR.H."</f>
        <v>#N/A</v>
      </c>
      <c r="B1071" s="77">
        <f>ROUND(PAGE8!$E$19,5)</f>
        <v>0</v>
      </c>
      <c r="C1071" s="43"/>
    </row>
    <row r="1072" spans="1:3">
      <c r="A1072" s="146" t="e">
        <f>$C$1&amp;".E30A.REM.FR.PBSEC.APPR.L.M"</f>
        <v>#N/A</v>
      </c>
      <c r="B1072" s="77">
        <f>ROUND(PAGE8!$G$19,5)</f>
        <v>0</v>
      </c>
      <c r="C1072" s="43"/>
    </row>
    <row r="1073" spans="1:3">
      <c r="A1073" s="146" t="e">
        <f>$C$1&amp;".E30A.REM.FR.PBSEC.APPR.H.M"</f>
        <v>#N/A</v>
      </c>
      <c r="B1073" s="77">
        <f>ROUND(PAGE8!$I$19,5)</f>
        <v>0</v>
      </c>
      <c r="C1073" s="43"/>
    </row>
    <row r="1074" spans="1:3">
      <c r="A1074" s="146" t="e">
        <f>$C$1&amp;".E30A.REM.FR.PBSEC.DISB.L."</f>
        <v>#N/A</v>
      </c>
      <c r="B1074" s="77">
        <f>ROUND(PAGE8!$K$19,5)</f>
        <v>0</v>
      </c>
      <c r="C1074" s="43"/>
    </row>
    <row r="1075" spans="1:3">
      <c r="A1075" s="146" t="e">
        <f>$C$1&amp;".E30A.REM.FR.PBSEC.DISB.H."</f>
        <v>#N/A</v>
      </c>
      <c r="B1075" s="77">
        <f>ROUND(PAGE8!$M$19,5)</f>
        <v>0</v>
      </c>
      <c r="C1075" s="43"/>
    </row>
    <row r="1076" spans="1:3">
      <c r="A1076" s="146" t="e">
        <f>$C$1&amp;".E30A.REM.FR.PBSEC.DISB.L.M"</f>
        <v>#N/A</v>
      </c>
      <c r="B1076" s="77">
        <f>ROUND(PAGE8!$O$19,5)</f>
        <v>0</v>
      </c>
      <c r="C1076" s="43"/>
    </row>
    <row r="1077" spans="1:3">
      <c r="A1077" s="146" t="e">
        <f>$C$1&amp;".E30A.REM.FR.PBSEC.DISB.H.M"</f>
        <v>#N/A</v>
      </c>
      <c r="B1077" s="77">
        <f>ROUND(PAGE8!$Q$19,5)</f>
        <v>0</v>
      </c>
      <c r="C1077" s="43"/>
    </row>
    <row r="1078" spans="1:3">
      <c r="A1078" s="146" t="e">
        <f>$C$1&amp;".E30A.REM.FR.PBSEC.OS.L."</f>
        <v>#N/A</v>
      </c>
      <c r="B1078" s="77">
        <f>ROUND(PAGE8!$S$19,5)</f>
        <v>0</v>
      </c>
      <c r="C1078" s="43"/>
    </row>
    <row r="1079" spans="1:3">
      <c r="A1079" s="146" t="e">
        <f>$C$1&amp;".E30A.REM.FR.PBSEC.OS.H."</f>
        <v>#N/A</v>
      </c>
      <c r="B1079" s="77">
        <f>ROUND(PAGE8!$U$19,5)</f>
        <v>0</v>
      </c>
      <c r="C1079" s="43"/>
    </row>
    <row r="1080" spans="1:3">
      <c r="A1080" s="146" t="e">
        <f>$C$1&amp;".E30A.REM.FR.PBSEC.OS.L.M"</f>
        <v>#N/A</v>
      </c>
      <c r="B1080" s="77">
        <f>ROUND(PAGE8!$W$19,5)</f>
        <v>0</v>
      </c>
      <c r="C1080" s="43"/>
    </row>
    <row r="1081" spans="1:3">
      <c r="A1081" s="146" t="e">
        <f>$C$1&amp;".E30A.REM.FR.PBSEC.OS.H.M"</f>
        <v>#N/A</v>
      </c>
      <c r="B1081" s="77">
        <f>ROUND(PAGE8!$Y$19,5)</f>
        <v>0</v>
      </c>
      <c r="C1081" s="43"/>
    </row>
    <row r="1082" spans="1:3">
      <c r="A1082" s="146" t="e">
        <f>$C$1&amp;".E30A.REM.FR.PVFIN.APPR.L."</f>
        <v>#N/A</v>
      </c>
      <c r="B1082" s="77">
        <f>ROUND(PAGE8!$C$22,5)</f>
        <v>0</v>
      </c>
      <c r="C1082" s="43"/>
    </row>
    <row r="1083" spans="1:3">
      <c r="A1083" s="146" t="e">
        <f>$C$1&amp;".E30A.REM.FR.PVFIN.APPR.H."</f>
        <v>#N/A</v>
      </c>
      <c r="B1083" s="77">
        <f>ROUND(PAGE8!$E$22,5)</f>
        <v>0</v>
      </c>
      <c r="C1083" s="43"/>
    </row>
    <row r="1084" spans="1:3">
      <c r="A1084" s="146" t="e">
        <f>$C$1&amp;".E30A.REM.FR.PVFIN.APPR.L.M"</f>
        <v>#N/A</v>
      </c>
      <c r="B1084" s="77">
        <f>ROUND(PAGE8!$G$22,5)</f>
        <v>0</v>
      </c>
      <c r="C1084" s="43"/>
    </row>
    <row r="1085" spans="1:3">
      <c r="A1085" s="146" t="e">
        <f>$C$1&amp;".E30A.REM.FR.PVFIN.APPR.H.M"</f>
        <v>#N/A</v>
      </c>
      <c r="B1085" s="77">
        <f>ROUND(PAGE8!$I$22,5)</f>
        <v>0</v>
      </c>
      <c r="C1085" s="43"/>
    </row>
    <row r="1086" spans="1:3">
      <c r="A1086" s="146" t="e">
        <f>$C$1&amp;".E30A.REM.FR.PVFIN.DISB.L."</f>
        <v>#N/A</v>
      </c>
      <c r="B1086" s="77">
        <f>ROUND(PAGE8!$K$22,5)</f>
        <v>0</v>
      </c>
      <c r="C1086" s="43"/>
    </row>
    <row r="1087" spans="1:3">
      <c r="A1087" s="146" t="e">
        <f>$C$1&amp;".E30A.REM.FR.PVFIN.DISB.H."</f>
        <v>#N/A</v>
      </c>
      <c r="B1087" s="77">
        <f>ROUND(PAGE8!$M$22,5)</f>
        <v>0</v>
      </c>
      <c r="C1087" s="43"/>
    </row>
    <row r="1088" spans="1:3">
      <c r="A1088" s="146" t="e">
        <f>$C$1&amp;".E30A.REM.FR.PVFIN.DISB.L.M"</f>
        <v>#N/A</v>
      </c>
      <c r="B1088" s="77">
        <f>ROUND(PAGE8!$O$22,5)</f>
        <v>0</v>
      </c>
      <c r="C1088" s="43"/>
    </row>
    <row r="1089" spans="1:3">
      <c r="A1089" s="146" t="e">
        <f>$C$1&amp;".E30A.REM.FR.PVFIN.DISB.H.M"</f>
        <v>#N/A</v>
      </c>
      <c r="B1089" s="77">
        <f>ROUND(PAGE8!$Q$22,5)</f>
        <v>0</v>
      </c>
      <c r="C1089" s="43"/>
    </row>
    <row r="1090" spans="1:3">
      <c r="A1090" s="146" t="e">
        <f>$C$1&amp;".E30A.REM.FR.PVFIN.OS.L."</f>
        <v>#N/A</v>
      </c>
      <c r="B1090" s="77">
        <f>ROUND(PAGE8!$S$22,5)</f>
        <v>0</v>
      </c>
      <c r="C1090" s="43"/>
    </row>
    <row r="1091" spans="1:3">
      <c r="A1091" s="146" t="e">
        <f>$C$1&amp;".E30A.REM.FR.PVFIN.OS.H."</f>
        <v>#N/A</v>
      </c>
      <c r="B1091" s="77">
        <f>ROUND(PAGE8!$U$22,5)</f>
        <v>0</v>
      </c>
      <c r="C1091" s="43"/>
    </row>
    <row r="1092" spans="1:3">
      <c r="A1092" s="146" t="e">
        <f>$C$1&amp;".E30A.REM.FR.PVFIN.OS.L.M"</f>
        <v>#N/A</v>
      </c>
      <c r="B1092" s="77">
        <f>ROUND(PAGE8!$W$22,5)</f>
        <v>0</v>
      </c>
      <c r="C1092" s="43"/>
    </row>
    <row r="1093" spans="1:3">
      <c r="A1093" s="146" t="e">
        <f>$C$1&amp;".E30A.REM.FR.PVFIN.OS.H.M"</f>
        <v>#N/A</v>
      </c>
      <c r="B1093" s="77">
        <f>ROUND(PAGE8!$Y$22,5)</f>
        <v>0</v>
      </c>
      <c r="C1093" s="43"/>
    </row>
    <row r="1094" spans="1:3">
      <c r="A1094" s="146" t="e">
        <f>$C$1&amp;".E30A.REM.FR.IBUS.APPR.L."</f>
        <v>#N/A</v>
      </c>
      <c r="B1094" s="77">
        <f>ROUND(PAGE8!$C$25,5)</f>
        <v>0</v>
      </c>
      <c r="C1094" s="43"/>
    </row>
    <row r="1095" spans="1:3">
      <c r="A1095" s="146" t="e">
        <f>$C$1&amp;".E30A.REM.FR.IBUS.APPR.H."</f>
        <v>#N/A</v>
      </c>
      <c r="B1095" s="77">
        <f>ROUND(PAGE8!$E$25,5)</f>
        <v>0</v>
      </c>
      <c r="C1095" s="43"/>
    </row>
    <row r="1096" spans="1:3">
      <c r="A1096" s="146" t="e">
        <f>$C$1&amp;".E30A.REM.FR.IBUS.APPR.L.M"</f>
        <v>#N/A</v>
      </c>
      <c r="B1096" s="77">
        <f>ROUND(PAGE8!$G$25,5)</f>
        <v>0</v>
      </c>
      <c r="C1096" s="43"/>
    </row>
    <row r="1097" spans="1:3">
      <c r="A1097" s="146" t="e">
        <f>$C$1&amp;".E30A.REM.FR.IBUS.APPR.H.M"</f>
        <v>#N/A</v>
      </c>
      <c r="B1097" s="77">
        <f>ROUND(PAGE8!$I$25,5)</f>
        <v>0</v>
      </c>
      <c r="C1097" s="43"/>
    </row>
    <row r="1098" spans="1:3">
      <c r="A1098" s="146" t="e">
        <f>$C$1&amp;".E30A.REM.FR.IBUS.DISB.L."</f>
        <v>#N/A</v>
      </c>
      <c r="B1098" s="77">
        <f>ROUND(PAGE8!$K$25,5)</f>
        <v>0</v>
      </c>
      <c r="C1098" s="43"/>
    </row>
    <row r="1099" spans="1:3">
      <c r="A1099" s="146" t="e">
        <f>$C$1&amp;".E30A.REM.FR.IBUS.DISB.H."</f>
        <v>#N/A</v>
      </c>
      <c r="B1099" s="77">
        <f>ROUND(PAGE8!$M$25,5)</f>
        <v>0</v>
      </c>
      <c r="C1099" s="43"/>
    </row>
    <row r="1100" spans="1:3">
      <c r="A1100" s="146" t="e">
        <f>$C$1&amp;".E30A.REM.FR.IBUS.DISB.L.M"</f>
        <v>#N/A</v>
      </c>
      <c r="B1100" s="77">
        <f>ROUND(PAGE8!$O$25,5)</f>
        <v>0</v>
      </c>
      <c r="C1100" s="43"/>
    </row>
    <row r="1101" spans="1:3">
      <c r="A1101" s="146" t="e">
        <f>$C$1&amp;".E30A.REM.FR.IBUS.DISB.H.M"</f>
        <v>#N/A</v>
      </c>
      <c r="B1101" s="77">
        <f>ROUND(PAGE8!$Q$25,5)</f>
        <v>0</v>
      </c>
      <c r="C1101" s="43"/>
    </row>
    <row r="1102" spans="1:3">
      <c r="A1102" s="146" t="e">
        <f>$C$1&amp;".E30A.REM.FR.IBUS.OS.L."</f>
        <v>#N/A</v>
      </c>
      <c r="B1102" s="77">
        <f>ROUND(PAGE8!$S$25,5)</f>
        <v>0</v>
      </c>
      <c r="C1102" s="43"/>
    </row>
    <row r="1103" spans="1:3">
      <c r="A1103" s="146" t="e">
        <f>$C$1&amp;".E30A.REM.FR.IBUS.OS.H."</f>
        <v>#N/A</v>
      </c>
      <c r="B1103" s="77">
        <f>ROUND(PAGE8!$U$25,5)</f>
        <v>0</v>
      </c>
      <c r="C1103" s="43"/>
    </row>
    <row r="1104" spans="1:3">
      <c r="A1104" s="146" t="e">
        <f>$C$1&amp;".E30A.REM.FR.IBUS.OS.L.M"</f>
        <v>#N/A</v>
      </c>
      <c r="B1104" s="77">
        <f>ROUND(PAGE8!$W$25,5)</f>
        <v>0</v>
      </c>
      <c r="C1104" s="43"/>
    </row>
    <row r="1105" spans="1:3">
      <c r="A1105" s="146" t="e">
        <f>$C$1&amp;".E30A.REM.FR.IBUS.OS.H.M"</f>
        <v>#N/A</v>
      </c>
      <c r="B1105" s="77">
        <f>ROUND(PAGE8!$Y$25,5)</f>
        <v>0</v>
      </c>
      <c r="C1105" s="43"/>
    </row>
    <row r="1106" spans="1:3">
      <c r="A1106" s="146" t="e">
        <f>$C$1&amp;".E30A.REM.FR.UIBUS.APPR.L."</f>
        <v>#N/A</v>
      </c>
      <c r="B1106" s="77">
        <f>ROUND(PAGE8!$C$28,5)</f>
        <v>0</v>
      </c>
      <c r="C1106" s="43"/>
    </row>
    <row r="1107" spans="1:3">
      <c r="A1107" s="146" t="e">
        <f>$C$1&amp;".E30A.REM.FR.UIBUS.APPR.H."</f>
        <v>#N/A</v>
      </c>
      <c r="B1107" s="77">
        <f>ROUND(PAGE8!$E$28,5)</f>
        <v>0</v>
      </c>
      <c r="C1107" s="43"/>
    </row>
    <row r="1108" spans="1:3">
      <c r="A1108" s="146" t="e">
        <f>$C$1&amp;".E30A.REM.FR.UIBUS.APPR.L.M"</f>
        <v>#N/A</v>
      </c>
      <c r="B1108" s="77">
        <f>ROUND(PAGE8!$G$28,5)</f>
        <v>0</v>
      </c>
      <c r="C1108" s="43"/>
    </row>
    <row r="1109" spans="1:3">
      <c r="A1109" s="146" t="e">
        <f>$C$1&amp;".E30A.REM.FR.UIBUS.APPR.H.M"</f>
        <v>#N/A</v>
      </c>
      <c r="B1109" s="77">
        <f>ROUND(PAGE8!$I$28,5)</f>
        <v>0</v>
      </c>
      <c r="C1109" s="43"/>
    </row>
    <row r="1110" spans="1:3">
      <c r="A1110" s="146" t="e">
        <f>$C$1&amp;".E30A.REM.FR.UIBUS.DISB.L."</f>
        <v>#N/A</v>
      </c>
      <c r="B1110" s="77">
        <f>ROUND(PAGE8!$K$28,5)</f>
        <v>0</v>
      </c>
      <c r="C1110" s="43"/>
    </row>
    <row r="1111" spans="1:3">
      <c r="A1111" s="146" t="e">
        <f>$C$1&amp;".E30A.REM.FR.UIBUS.DISB.H."</f>
        <v>#N/A</v>
      </c>
      <c r="B1111" s="77">
        <f>ROUND(PAGE8!$M$28,5)</f>
        <v>0</v>
      </c>
      <c r="C1111" s="43"/>
    </row>
    <row r="1112" spans="1:3">
      <c r="A1112" s="146" t="e">
        <f>$C$1&amp;".E30A.REM.FR.UIBUS.DISB.L.M"</f>
        <v>#N/A</v>
      </c>
      <c r="B1112" s="77">
        <f>ROUND(PAGE8!$O$28,5)</f>
        <v>0</v>
      </c>
      <c r="C1112" s="43"/>
    </row>
    <row r="1113" spans="1:3">
      <c r="A1113" s="146" t="e">
        <f>$C$1&amp;".E30A.REM.FR.UIBUS.DISB.H.M"</f>
        <v>#N/A</v>
      </c>
      <c r="B1113" s="77">
        <f>ROUND(PAGE8!$Q$28,5)</f>
        <v>0</v>
      </c>
      <c r="C1113" s="43"/>
    </row>
    <row r="1114" spans="1:3">
      <c r="A1114" s="146" t="e">
        <f>$C$1&amp;".E30A.REM.FR.UIBUS.OS.L."</f>
        <v>#N/A</v>
      </c>
      <c r="B1114" s="77">
        <f>ROUND(PAGE8!$S$28,5)</f>
        <v>0</v>
      </c>
      <c r="C1114" s="43"/>
    </row>
    <row r="1115" spans="1:3">
      <c r="A1115" s="146" t="e">
        <f>$C$1&amp;".E30A.REM.FR.UIBUS.OS.H."</f>
        <v>#N/A</v>
      </c>
      <c r="B1115" s="77">
        <f>ROUND(PAGE8!$U$28,5)</f>
        <v>0</v>
      </c>
      <c r="C1115" s="43"/>
    </row>
    <row r="1116" spans="1:3">
      <c r="A1116" s="146" t="e">
        <f>$C$1&amp;".E30A.REM.FR.UIBUS.OS.L.M"</f>
        <v>#N/A</v>
      </c>
      <c r="B1116" s="77">
        <f>ROUND(PAGE8!$W$28,5)</f>
        <v>0</v>
      </c>
      <c r="C1116" s="43"/>
    </row>
    <row r="1117" spans="1:3">
      <c r="A1117" s="146" t="e">
        <f>$C$1&amp;".E30A.REM.FR.UIBUS.OS.H.M"</f>
        <v>#N/A</v>
      </c>
      <c r="B1117" s="77">
        <f>ROUND(PAGE8!$Y$28,5)</f>
        <v>0</v>
      </c>
      <c r="C1117" s="43"/>
    </row>
    <row r="1118" spans="1:3">
      <c r="A1118" s="146" t="e">
        <f>$C$1&amp;".E30A.REM.FR.CONSM.APPR.L."</f>
        <v>#N/A</v>
      </c>
      <c r="B1118" s="77">
        <f>ROUND(PAGE8!$C$30,5)</f>
        <v>0</v>
      </c>
      <c r="C1118" s="43"/>
    </row>
    <row r="1119" spans="1:3">
      <c r="A1119" s="146" t="e">
        <f>$C$1&amp;".E30A.REM.FR.CONSM.APPR.H."</f>
        <v>#N/A</v>
      </c>
      <c r="B1119" s="77">
        <f>ROUND(PAGE8!$E$30,5)</f>
        <v>0</v>
      </c>
      <c r="C1119" s="43"/>
    </row>
    <row r="1120" spans="1:3">
      <c r="A1120" s="146" t="e">
        <f>$C$1&amp;".E30A.REM.FR.CONSM.APPR.L.M"</f>
        <v>#N/A</v>
      </c>
      <c r="B1120" s="77">
        <f>ROUND(PAGE8!$G$30,5)</f>
        <v>0</v>
      </c>
      <c r="C1120" s="43"/>
    </row>
    <row r="1121" spans="1:3">
      <c r="A1121" s="146" t="e">
        <f>$C$1&amp;".E30A.REM.FR.CONSM.APPR.H.M"</f>
        <v>#N/A</v>
      </c>
      <c r="B1121" s="77">
        <f>ROUND(PAGE8!$I$30,5)</f>
        <v>0</v>
      </c>
      <c r="C1121" s="43"/>
    </row>
    <row r="1122" spans="1:3">
      <c r="A1122" s="146" t="e">
        <f>$C$1&amp;".E30A.REM.FR.CONSM.DISB.L."</f>
        <v>#N/A</v>
      </c>
      <c r="B1122" s="77">
        <f>ROUND(PAGE8!$K$30,5)</f>
        <v>0</v>
      </c>
      <c r="C1122" s="43"/>
    </row>
    <row r="1123" spans="1:3">
      <c r="A1123" s="146" t="e">
        <f>$C$1&amp;".E30A.REM.FR.CONSM.DISB.H."</f>
        <v>#N/A</v>
      </c>
      <c r="B1123" s="77">
        <f>ROUND(PAGE8!$M$30,5)</f>
        <v>0</v>
      </c>
      <c r="C1123" s="43"/>
    </row>
    <row r="1124" spans="1:3">
      <c r="A1124" s="146" t="e">
        <f>$C$1&amp;".E30A.REM.FR.CONSM.DISB.L.M"</f>
        <v>#N/A</v>
      </c>
      <c r="B1124" s="77">
        <f>ROUND(PAGE8!$O$30,5)</f>
        <v>0</v>
      </c>
      <c r="C1124" s="43"/>
    </row>
    <row r="1125" spans="1:3">
      <c r="A1125" s="146" t="e">
        <f>$C$1&amp;".E30A.REM.FR.CONSM.DISB.H.M"</f>
        <v>#N/A</v>
      </c>
      <c r="B1125" s="77">
        <f>ROUND(PAGE8!$Q$30,5)</f>
        <v>0</v>
      </c>
      <c r="C1125" s="43"/>
    </row>
    <row r="1126" spans="1:3">
      <c r="A1126" s="146" t="e">
        <f>$C$1&amp;".E30A.REM.FR.CONSM.OS.L."</f>
        <v>#N/A</v>
      </c>
      <c r="B1126" s="77">
        <f>ROUND(PAGE8!$S$30,5)</f>
        <v>0</v>
      </c>
      <c r="C1126" s="43"/>
    </row>
    <row r="1127" spans="1:3">
      <c r="A1127" s="146" t="e">
        <f>$C$1&amp;".E30A.REM.FR.CONSM.OS.H."</f>
        <v>#N/A</v>
      </c>
      <c r="B1127" s="77">
        <f>ROUND(PAGE8!$U$30,5)</f>
        <v>0</v>
      </c>
      <c r="C1127" s="43"/>
    </row>
    <row r="1128" spans="1:3">
      <c r="A1128" s="146" t="e">
        <f>$C$1&amp;".E30A.REM.FR.CONSM.OS.L.M"</f>
        <v>#N/A</v>
      </c>
      <c r="B1128" s="77">
        <f>ROUND(PAGE8!$W$30,5)</f>
        <v>0</v>
      </c>
      <c r="C1128" s="43"/>
    </row>
    <row r="1129" spans="1:3">
      <c r="A1129" s="146" t="e">
        <f>$C$1&amp;".E30A.REM.FR.CONSM.OS.H.M"</f>
        <v>#N/A</v>
      </c>
      <c r="B1129" s="77">
        <f>ROUND(PAGE8!$Y$30,5)</f>
        <v>0</v>
      </c>
      <c r="C1129" s="43"/>
    </row>
    <row r="1130" spans="1:3">
      <c r="A1130" s="146" t="e">
        <f>$C$1&amp;".E30A.REM.VR.PBSEC.APPR.L."</f>
        <v>#N/A</v>
      </c>
      <c r="B1130" s="77">
        <f>ROUND(PAGE8!$C$40,5)</f>
        <v>0</v>
      </c>
      <c r="C1130" s="43"/>
    </row>
    <row r="1131" spans="1:3">
      <c r="A1131" s="146" t="e">
        <f>$C$1&amp;".E30A.REM.VR.PBSEC.APPR.H."</f>
        <v>#N/A</v>
      </c>
      <c r="B1131" s="77">
        <f>ROUND(PAGE8!$E$40,5)</f>
        <v>0</v>
      </c>
      <c r="C1131" s="43"/>
    </row>
    <row r="1132" spans="1:3">
      <c r="A1132" s="146" t="e">
        <f>$C$1&amp;".E30A.REM.VR.PBSEC.APPR.L.M"</f>
        <v>#N/A</v>
      </c>
      <c r="B1132" s="77">
        <f>ROUND(PAGE8!$G$40,5)</f>
        <v>0</v>
      </c>
      <c r="C1132" s="43"/>
    </row>
    <row r="1133" spans="1:3">
      <c r="A1133" s="146" t="e">
        <f>$C$1&amp;".E30A.REM.VR.PBSEC.APPR.H.M"</f>
        <v>#N/A</v>
      </c>
      <c r="B1133" s="77">
        <f>ROUND(PAGE8!$I$40,5)</f>
        <v>0</v>
      </c>
      <c r="C1133" s="43"/>
    </row>
    <row r="1134" spans="1:3">
      <c r="A1134" s="146" t="e">
        <f>$C$1&amp;".E30A.REM.VR.PBSEC.DISB.L."</f>
        <v>#N/A</v>
      </c>
      <c r="B1134" s="77">
        <f>ROUND(PAGE8!$K$40,5)</f>
        <v>0</v>
      </c>
      <c r="C1134" s="43"/>
    </row>
    <row r="1135" spans="1:3">
      <c r="A1135" s="146" t="e">
        <f>$C$1&amp;".E30A.REM.VR.PBSEC.DISB.H."</f>
        <v>#N/A</v>
      </c>
      <c r="B1135" s="77">
        <f>ROUND(PAGE8!$M$40,5)</f>
        <v>0</v>
      </c>
      <c r="C1135" s="43"/>
    </row>
    <row r="1136" spans="1:3">
      <c r="A1136" s="146" t="e">
        <f>$C$1&amp;".E30A.REM.VR.PBSEC.DISB.L.M"</f>
        <v>#N/A</v>
      </c>
      <c r="B1136" s="77">
        <f>ROUND(PAGE8!$O$40,5)</f>
        <v>0</v>
      </c>
      <c r="C1136" s="43"/>
    </row>
    <row r="1137" spans="1:3">
      <c r="A1137" s="146" t="e">
        <f>$C$1&amp;".E30A.REM.VR.PBSEC.DISB.H.M"</f>
        <v>#N/A</v>
      </c>
      <c r="B1137" s="77">
        <f>ROUND(PAGE8!$Q$40,5)</f>
        <v>0</v>
      </c>
      <c r="C1137" s="43"/>
    </row>
    <row r="1138" spans="1:3">
      <c r="A1138" s="146" t="e">
        <f>$C$1&amp;".E30A.REM.VR.PBSEC.OS.L."</f>
        <v>#N/A</v>
      </c>
      <c r="B1138" s="77">
        <f>ROUND(PAGE8!$S$40,5)</f>
        <v>0</v>
      </c>
      <c r="C1138" s="43"/>
    </row>
    <row r="1139" spans="1:3">
      <c r="A1139" s="146" t="e">
        <f>$C$1&amp;".E30A.REM.VR.PBSEC.OS.H."</f>
        <v>#N/A</v>
      </c>
      <c r="B1139" s="77">
        <f>ROUND(PAGE8!$U$40,5)</f>
        <v>0</v>
      </c>
      <c r="C1139" s="43"/>
    </row>
    <row r="1140" spans="1:3">
      <c r="A1140" s="146" t="e">
        <f>$C$1&amp;".E30A.REM.VR.PBSEC.OS.L.M"</f>
        <v>#N/A</v>
      </c>
      <c r="B1140" s="77">
        <f>ROUND(PAGE8!$W$40,5)</f>
        <v>0</v>
      </c>
      <c r="C1140" s="43"/>
    </row>
    <row r="1141" spans="1:3">
      <c r="A1141" s="146" t="e">
        <f>$C$1&amp;".E30A.REM.VR.PBSEC.OS.H.M"</f>
        <v>#N/A</v>
      </c>
      <c r="B1141" s="77">
        <f>ROUND(PAGE8!$Y$40,5)</f>
        <v>0</v>
      </c>
      <c r="C1141" s="43"/>
    </row>
    <row r="1142" spans="1:3">
      <c r="A1142" s="146" t="e">
        <f>$C$1&amp;".E30A.REM.VR.PVFIN.APPR.L."</f>
        <v>#N/A</v>
      </c>
      <c r="B1142" s="77">
        <f>ROUND(PAGE8!$C$43,5)</f>
        <v>0</v>
      </c>
      <c r="C1142" s="43"/>
    </row>
    <row r="1143" spans="1:3">
      <c r="A1143" s="146" t="e">
        <f>$C$1&amp;".E30A.REM.VR.PVFIN.APPR.H."</f>
        <v>#N/A</v>
      </c>
      <c r="B1143" s="77">
        <f>ROUND(PAGE8!$E$43,5)</f>
        <v>0</v>
      </c>
      <c r="C1143" s="43"/>
    </row>
    <row r="1144" spans="1:3">
      <c r="A1144" s="146" t="e">
        <f>$C$1&amp;".E30A.REM.VR.PVFIN.APPR.L.M"</f>
        <v>#N/A</v>
      </c>
      <c r="B1144" s="77">
        <f>ROUND(PAGE8!$G$43,5)</f>
        <v>0</v>
      </c>
      <c r="C1144" s="43"/>
    </row>
    <row r="1145" spans="1:3">
      <c r="A1145" s="146" t="e">
        <f>$C$1&amp;".E30A.REM.VR.PVFIN.APPR.H.M"</f>
        <v>#N/A</v>
      </c>
      <c r="B1145" s="77">
        <f>ROUND(PAGE8!$I$43,5)</f>
        <v>0</v>
      </c>
      <c r="C1145" s="43"/>
    </row>
    <row r="1146" spans="1:3">
      <c r="A1146" s="146" t="e">
        <f>$C$1&amp;".E30A.REM.VR.PVFIN.DISB.L."</f>
        <v>#N/A</v>
      </c>
      <c r="B1146" s="77">
        <f>ROUND(PAGE8!$K$43,5)</f>
        <v>0</v>
      </c>
      <c r="C1146" s="43"/>
    </row>
    <row r="1147" spans="1:3">
      <c r="A1147" s="146" t="e">
        <f>$C$1&amp;".E30A.REM.VR.PVFIN.DISB.H."</f>
        <v>#N/A</v>
      </c>
      <c r="B1147" s="77">
        <f>ROUND(PAGE8!$M$43,5)</f>
        <v>0</v>
      </c>
      <c r="C1147" s="43"/>
    </row>
    <row r="1148" spans="1:3">
      <c r="A1148" s="146" t="e">
        <f>$C$1&amp;".E30A.REM.VR.PVFIN.DISB.L.M"</f>
        <v>#N/A</v>
      </c>
      <c r="B1148" s="77">
        <f>ROUND(PAGE8!$O$43,5)</f>
        <v>0</v>
      </c>
      <c r="C1148" s="43"/>
    </row>
    <row r="1149" spans="1:3">
      <c r="A1149" s="146" t="e">
        <f>$C$1&amp;".E30A.REM.VR.PVFIN.DISB.H.M"</f>
        <v>#N/A</v>
      </c>
      <c r="B1149" s="77">
        <f>ROUND(PAGE8!$Q$43,5)</f>
        <v>0</v>
      </c>
      <c r="C1149" s="43"/>
    </row>
    <row r="1150" spans="1:3">
      <c r="A1150" s="146" t="e">
        <f>$C$1&amp;".E30A.REM.VR.PVFIN.OS.L."</f>
        <v>#N/A</v>
      </c>
      <c r="B1150" s="77">
        <f>ROUND(PAGE8!$S$43,5)</f>
        <v>0</v>
      </c>
      <c r="C1150" s="43"/>
    </row>
    <row r="1151" spans="1:3">
      <c r="A1151" s="146" t="e">
        <f>$C$1&amp;".E30A.REM.VR.PVFIN.OS.H."</f>
        <v>#N/A</v>
      </c>
      <c r="B1151" s="77">
        <f>ROUND(PAGE8!$U$43,5)</f>
        <v>0</v>
      </c>
      <c r="C1151" s="43"/>
    </row>
    <row r="1152" spans="1:3">
      <c r="A1152" s="146" t="e">
        <f>$C$1&amp;".E30A.REM.VR.PVFIN.OS.L.M"</f>
        <v>#N/A</v>
      </c>
      <c r="B1152" s="77">
        <f>ROUND(PAGE8!$W$43,5)</f>
        <v>0</v>
      </c>
      <c r="C1152" s="43"/>
    </row>
    <row r="1153" spans="1:3">
      <c r="A1153" s="146" t="e">
        <f>$C$1&amp;".E30A.REM.VR.PVFIN.OS.H.M"</f>
        <v>#N/A</v>
      </c>
      <c r="B1153" s="77">
        <f>ROUND(PAGE8!$Y$43,5)</f>
        <v>0</v>
      </c>
      <c r="C1153" s="43"/>
    </row>
    <row r="1154" spans="1:3">
      <c r="A1154" s="146" t="e">
        <f>$C$1&amp;".E30A.REM.VR.IBUS.APPR.L."</f>
        <v>#N/A</v>
      </c>
      <c r="B1154" s="77">
        <f>ROUND(PAGE8!$C$46,5)</f>
        <v>0</v>
      </c>
      <c r="C1154" s="43"/>
    </row>
    <row r="1155" spans="1:3">
      <c r="A1155" s="146" t="e">
        <f>$C$1&amp;".E30A.REM.VR.IBUS.APPR.H."</f>
        <v>#N/A</v>
      </c>
      <c r="B1155" s="77">
        <f>ROUND(PAGE8!$E$46,5)</f>
        <v>0</v>
      </c>
      <c r="C1155" s="43"/>
    </row>
    <row r="1156" spans="1:3">
      <c r="A1156" s="146" t="e">
        <f>$C$1&amp;".E30A.REM.VR.IBUS.APPR.L.M"</f>
        <v>#N/A</v>
      </c>
      <c r="B1156" s="77">
        <f>ROUND(PAGE8!$G$46,5)</f>
        <v>0</v>
      </c>
      <c r="C1156" s="43"/>
    </row>
    <row r="1157" spans="1:3">
      <c r="A1157" s="146" t="e">
        <f>$C$1&amp;".E30A.REM.VR.IBUS.APPR.H.M"</f>
        <v>#N/A</v>
      </c>
      <c r="B1157" s="77">
        <f>ROUND(PAGE8!$I$46,5)</f>
        <v>0</v>
      </c>
      <c r="C1157" s="43"/>
    </row>
    <row r="1158" spans="1:3">
      <c r="A1158" s="146" t="e">
        <f>$C$1&amp;".E30A.REM.VR.IBUS.DISB.L."</f>
        <v>#N/A</v>
      </c>
      <c r="B1158" s="77">
        <f>ROUND(PAGE8!$K$46,5)</f>
        <v>0</v>
      </c>
      <c r="C1158" s="43"/>
    </row>
    <row r="1159" spans="1:3">
      <c r="A1159" s="146" t="e">
        <f>$C$1&amp;".E30A.REM.VR.IBUS.DISB.H."</f>
        <v>#N/A</v>
      </c>
      <c r="B1159" s="77">
        <f>ROUND(PAGE8!$M$46,5)</f>
        <v>0</v>
      </c>
      <c r="C1159" s="43"/>
    </row>
    <row r="1160" spans="1:3">
      <c r="A1160" s="146" t="e">
        <f>$C$1&amp;".E30A.REM.VR.IBUS.DISB.L.M"</f>
        <v>#N/A</v>
      </c>
      <c r="B1160" s="77">
        <f>ROUND(PAGE8!$O$46,5)</f>
        <v>0</v>
      </c>
      <c r="C1160" s="43"/>
    </row>
    <row r="1161" spans="1:3">
      <c r="A1161" s="146" t="e">
        <f>$C$1&amp;".E30A.REM.VR.IBUS.DISB.H.M"</f>
        <v>#N/A</v>
      </c>
      <c r="B1161" s="77">
        <f>ROUND(PAGE8!$Q$46,5)</f>
        <v>0</v>
      </c>
      <c r="C1161" s="43"/>
    </row>
    <row r="1162" spans="1:3">
      <c r="A1162" s="146" t="e">
        <f>$C$1&amp;".E30A.REM.VR.IBUS.OS.L."</f>
        <v>#N/A</v>
      </c>
      <c r="B1162" s="77">
        <f>ROUND(PAGE8!$S$46,5)</f>
        <v>0</v>
      </c>
      <c r="C1162" s="43"/>
    </row>
    <row r="1163" spans="1:3">
      <c r="A1163" s="146" t="e">
        <f>$C$1&amp;".E30A.REM.VR.IBUS.OS.H."</f>
        <v>#N/A</v>
      </c>
      <c r="B1163" s="77">
        <f>ROUND(PAGE8!$U$46,5)</f>
        <v>0</v>
      </c>
      <c r="C1163" s="43"/>
    </row>
    <row r="1164" spans="1:3">
      <c r="A1164" s="146" t="e">
        <f>$C$1&amp;".E30A.REM.VR.IBUS.OS.L.M"</f>
        <v>#N/A</v>
      </c>
      <c r="B1164" s="77">
        <f>ROUND(PAGE8!$W$46,5)</f>
        <v>0</v>
      </c>
      <c r="C1164" s="43"/>
    </row>
    <row r="1165" spans="1:3">
      <c r="A1165" s="146" t="e">
        <f>$C$1&amp;".E30A.REM.VR.IBUS.OS.H.M"</f>
        <v>#N/A</v>
      </c>
      <c r="B1165" s="77">
        <f>ROUND(PAGE8!$Y$46,5)</f>
        <v>0</v>
      </c>
      <c r="C1165" s="43"/>
    </row>
    <row r="1166" spans="1:3">
      <c r="A1166" s="146" t="e">
        <f>$C$1&amp;".E30A.REM.VR.UIBUS.APPR.L."</f>
        <v>#N/A</v>
      </c>
      <c r="B1166" s="77">
        <f>ROUND(PAGE8!$C$49,5)</f>
        <v>0</v>
      </c>
      <c r="C1166" s="43"/>
    </row>
    <row r="1167" spans="1:3">
      <c r="A1167" s="146" t="e">
        <f>$C$1&amp;".E30A.REM.VR.UIBUS.APPR.H."</f>
        <v>#N/A</v>
      </c>
      <c r="B1167" s="77">
        <f>ROUND(PAGE8!$E$49,5)</f>
        <v>0</v>
      </c>
      <c r="C1167" s="43"/>
    </row>
    <row r="1168" spans="1:3">
      <c r="A1168" s="146" t="e">
        <f>$C$1&amp;".E30A.REM.VR.UIBUS.APPR.L.M"</f>
        <v>#N/A</v>
      </c>
      <c r="B1168" s="77">
        <f>ROUND(PAGE8!$G$49,5)</f>
        <v>0</v>
      </c>
      <c r="C1168" s="43"/>
    </row>
    <row r="1169" spans="1:3">
      <c r="A1169" s="146" t="e">
        <f>$C$1&amp;".E30A.REM.VR.UIBUS.APPR.H.M"</f>
        <v>#N/A</v>
      </c>
      <c r="B1169" s="77">
        <f>ROUND(PAGE8!$I$49,5)</f>
        <v>0</v>
      </c>
      <c r="C1169" s="43"/>
    </row>
    <row r="1170" spans="1:3">
      <c r="A1170" s="146" t="e">
        <f>$C$1&amp;".E30A.REM.VR.UIBUS.DISB.L."</f>
        <v>#N/A</v>
      </c>
      <c r="B1170" s="77">
        <f>ROUND(PAGE8!$K$49,5)</f>
        <v>0</v>
      </c>
      <c r="C1170" s="43"/>
    </row>
    <row r="1171" spans="1:3">
      <c r="A1171" s="146" t="e">
        <f>$C$1&amp;".E30A.REM.VR.UIBUS.DISB.H."</f>
        <v>#N/A</v>
      </c>
      <c r="B1171" s="77">
        <f>ROUND(PAGE8!$M$49,5)</f>
        <v>0</v>
      </c>
      <c r="C1171" s="43"/>
    </row>
    <row r="1172" spans="1:3">
      <c r="A1172" s="146" t="e">
        <f>$C$1&amp;".E30A.REM.VR.UIBUS.DISB.L.M"</f>
        <v>#N/A</v>
      </c>
      <c r="B1172" s="77">
        <f>ROUND(PAGE8!$O$49,5)</f>
        <v>0</v>
      </c>
      <c r="C1172" s="43"/>
    </row>
    <row r="1173" spans="1:3">
      <c r="A1173" s="146" t="e">
        <f>$C$1&amp;".E30A.REM.VR.UIBUS.DISB.H.M"</f>
        <v>#N/A</v>
      </c>
      <c r="B1173" s="77">
        <f>ROUND(PAGE8!$Q$49,5)</f>
        <v>0</v>
      </c>
      <c r="C1173" s="43"/>
    </row>
    <row r="1174" spans="1:3">
      <c r="A1174" s="146" t="e">
        <f>$C$1&amp;".E30A.REM.VR.UIBUS.OS.L."</f>
        <v>#N/A</v>
      </c>
      <c r="B1174" s="77">
        <f>ROUND(PAGE8!$S$49,5)</f>
        <v>0</v>
      </c>
      <c r="C1174" s="43"/>
    </row>
    <row r="1175" spans="1:3">
      <c r="A1175" s="146" t="e">
        <f>$C$1&amp;".E30A.REM.VR.UIBUS.OS.H."</f>
        <v>#N/A</v>
      </c>
      <c r="B1175" s="77">
        <f>ROUND(PAGE8!$U$49,5)</f>
        <v>0</v>
      </c>
      <c r="C1175" s="43"/>
    </row>
    <row r="1176" spans="1:3">
      <c r="A1176" s="146" t="e">
        <f>$C$1&amp;".E30A.REM.VR.UIBUS.OS.L.M"</f>
        <v>#N/A</v>
      </c>
      <c r="B1176" s="77">
        <f>ROUND(PAGE8!$W$49,5)</f>
        <v>0</v>
      </c>
      <c r="C1176" s="43"/>
    </row>
    <row r="1177" spans="1:3">
      <c r="A1177" s="146" t="e">
        <f>$C$1&amp;".E30A.REM.VR.UIBUS.OS.H.M"</f>
        <v>#N/A</v>
      </c>
      <c r="B1177" s="77">
        <f>ROUND(PAGE8!$Y$49,5)</f>
        <v>0</v>
      </c>
      <c r="C1177" s="43"/>
    </row>
    <row r="1178" spans="1:3">
      <c r="A1178" s="146" t="e">
        <f>$C$1&amp;".E30A.REM.VR.CONSM.APPR.L."</f>
        <v>#N/A</v>
      </c>
      <c r="B1178" s="77">
        <f>ROUND(PAGE8!$C$51,5)</f>
        <v>0</v>
      </c>
      <c r="C1178" s="43"/>
    </row>
    <row r="1179" spans="1:3">
      <c r="A1179" s="146" t="e">
        <f>$C$1&amp;".E30A.REM.VR.CONSM.APPR.H."</f>
        <v>#N/A</v>
      </c>
      <c r="B1179" s="77">
        <f>ROUND(PAGE8!$E$51,5)</f>
        <v>0</v>
      </c>
      <c r="C1179" s="43"/>
    </row>
    <row r="1180" spans="1:3">
      <c r="A1180" s="146" t="e">
        <f>$C$1&amp;".E30A.REM.VR.CONSM.APPR.L.M"</f>
        <v>#N/A</v>
      </c>
      <c r="B1180" s="77">
        <f>ROUND(PAGE8!$G$51,5)</f>
        <v>0</v>
      </c>
      <c r="C1180" s="43"/>
    </row>
    <row r="1181" spans="1:3">
      <c r="A1181" s="146" t="e">
        <f>$C$1&amp;".E30A.REM.VR.CONSM.APPR.H.M"</f>
        <v>#N/A</v>
      </c>
      <c r="B1181" s="77">
        <f>ROUND(PAGE8!$I$51,5)</f>
        <v>0</v>
      </c>
      <c r="C1181" s="43"/>
    </row>
    <row r="1182" spans="1:3">
      <c r="A1182" s="146" t="e">
        <f>$C$1&amp;".E30A.REM.VR.CONSM.DISB.L."</f>
        <v>#N/A</v>
      </c>
      <c r="B1182" s="77">
        <f>ROUND(PAGE8!$K$51,5)</f>
        <v>0</v>
      </c>
      <c r="C1182" s="43"/>
    </row>
    <row r="1183" spans="1:3">
      <c r="A1183" s="146" t="e">
        <f>$C$1&amp;".E30A.REM.VR.CONSM.DISB.H."</f>
        <v>#N/A</v>
      </c>
      <c r="B1183" s="77">
        <f>ROUND(PAGE8!$M$51,5)</f>
        <v>0</v>
      </c>
      <c r="C1183" s="43"/>
    </row>
    <row r="1184" spans="1:3">
      <c r="A1184" s="146" t="e">
        <f>$C$1&amp;".E30A.REM.VR.CONSM.DISB.L.M"</f>
        <v>#N/A</v>
      </c>
      <c r="B1184" s="77">
        <f>ROUND(PAGE8!$O$51,5)</f>
        <v>0</v>
      </c>
      <c r="C1184" s="43"/>
    </row>
    <row r="1185" spans="1:3">
      <c r="A1185" s="146" t="e">
        <f>$C$1&amp;".E30A.REM.VR.CONSM.DISB.H.M"</f>
        <v>#N/A</v>
      </c>
      <c r="B1185" s="77">
        <f>ROUND(PAGE8!$Q$51,5)</f>
        <v>0</v>
      </c>
      <c r="C1185" s="43"/>
    </row>
    <row r="1186" spans="1:3">
      <c r="A1186" s="146" t="e">
        <f>$C$1&amp;".E30A.REM.VR.CONSM.OS.L."</f>
        <v>#N/A</v>
      </c>
      <c r="B1186" s="77">
        <f>ROUND(PAGE8!$S$51,5)</f>
        <v>0</v>
      </c>
      <c r="C1186" s="43"/>
    </row>
    <row r="1187" spans="1:3">
      <c r="A1187" s="146" t="e">
        <f>$C$1&amp;".E30A.REM.VR.CONSM.OS.H."</f>
        <v>#N/A</v>
      </c>
      <c r="B1187" s="77">
        <f>ROUND(PAGE8!$U$51,5)</f>
        <v>0</v>
      </c>
      <c r="C1187" s="43"/>
    </row>
    <row r="1188" spans="1:3">
      <c r="A1188" s="146" t="e">
        <f>$C$1&amp;".E30A.REM.VR.CONSM.OS.L.M"</f>
        <v>#N/A</v>
      </c>
      <c r="B1188" s="77">
        <f>ROUND(PAGE8!$W$51,5)</f>
        <v>0</v>
      </c>
      <c r="C1188" s="43"/>
    </row>
    <row r="1189" spans="1:3">
      <c r="A1189" s="146" t="e">
        <f>$C$1&amp;".E30A.REM.VR.CONSM.OS.H.M"</f>
        <v>#N/A</v>
      </c>
      <c r="B1189" s="77">
        <f>ROUND(PAGE8!$Y$51,5)</f>
        <v>0</v>
      </c>
      <c r="C1189" s="43"/>
    </row>
    <row r="1190" spans="1:3">
      <c r="A1190" s="146" t="e">
        <f>$C$1&amp;".E30A.REM.AR.PBSEC.APPR.L."</f>
        <v>#N/A</v>
      </c>
      <c r="B1190" s="77">
        <f>ROUND(PAGE8!$C$61,5)</f>
        <v>0</v>
      </c>
      <c r="C1190" s="43"/>
    </row>
    <row r="1191" spans="1:3">
      <c r="A1191" s="146" t="e">
        <f>$C$1&amp;".E30A.REM.AR.PBSEC.APPR.H."</f>
        <v>#N/A</v>
      </c>
      <c r="B1191" s="77">
        <f>ROUND(PAGE8!$E$61,5)</f>
        <v>0</v>
      </c>
      <c r="C1191" s="43"/>
    </row>
    <row r="1192" spans="1:3">
      <c r="A1192" s="146" t="e">
        <f>$C$1&amp;".E30A.REM.AR.PBSEC.APPR.L.M"</f>
        <v>#N/A</v>
      </c>
      <c r="B1192" s="77">
        <f>ROUND(PAGE8!$G$61,5)</f>
        <v>0</v>
      </c>
      <c r="C1192" s="43"/>
    </row>
    <row r="1193" spans="1:3">
      <c r="A1193" s="146" t="e">
        <f>$C$1&amp;".E30A.REM.AR.PBSEC.APPR.H.M"</f>
        <v>#N/A</v>
      </c>
      <c r="B1193" s="77">
        <f>ROUND(PAGE8!$I$61,5)</f>
        <v>0</v>
      </c>
      <c r="C1193" s="43"/>
    </row>
    <row r="1194" spans="1:3">
      <c r="A1194" s="146" t="e">
        <f>$C$1&amp;".E30A.REM.AR.PBSEC.DISB.L."</f>
        <v>#N/A</v>
      </c>
      <c r="B1194" s="77">
        <f>ROUND(PAGE8!$K$61,5)</f>
        <v>0</v>
      </c>
      <c r="C1194" s="43"/>
    </row>
    <row r="1195" spans="1:3">
      <c r="A1195" s="146" t="e">
        <f>$C$1&amp;".E30A.REM.AR.PBSEC.DISB.H."</f>
        <v>#N/A</v>
      </c>
      <c r="B1195" s="77">
        <f>ROUND(PAGE8!$M$61,5)</f>
        <v>0</v>
      </c>
      <c r="C1195" s="43"/>
    </row>
    <row r="1196" spans="1:3">
      <c r="A1196" s="146" t="e">
        <f>$C$1&amp;".E30A.REM.AR.PBSEC.DISB.L.M"</f>
        <v>#N/A</v>
      </c>
      <c r="B1196" s="77">
        <f>ROUND(PAGE8!$O$61,5)</f>
        <v>0</v>
      </c>
      <c r="C1196" s="43"/>
    </row>
    <row r="1197" spans="1:3">
      <c r="A1197" s="146" t="e">
        <f>$C$1&amp;".E30A.REM.AR.PBSEC.DISB.H.M"</f>
        <v>#N/A</v>
      </c>
      <c r="B1197" s="77">
        <f>ROUND(PAGE8!$Q$61,5)</f>
        <v>0</v>
      </c>
      <c r="C1197" s="43"/>
    </row>
    <row r="1198" spans="1:3">
      <c r="A1198" s="146" t="e">
        <f>$C$1&amp;".E30A.REM.AR.PBSEC.OS.L."</f>
        <v>#N/A</v>
      </c>
      <c r="B1198" s="77">
        <f>ROUND(PAGE8!$S$61,5)</f>
        <v>0</v>
      </c>
      <c r="C1198" s="43"/>
    </row>
    <row r="1199" spans="1:3">
      <c r="A1199" s="146" t="e">
        <f>$C$1&amp;".E30A.REM.AR.PBSEC.OS.H."</f>
        <v>#N/A</v>
      </c>
      <c r="B1199" s="77">
        <f>ROUND(PAGE8!$U$61,5)</f>
        <v>0</v>
      </c>
      <c r="C1199" s="43"/>
    </row>
    <row r="1200" spans="1:3">
      <c r="A1200" s="146" t="e">
        <f>$C$1&amp;".E30A.REM.AR.PBSEC.OS.L.M"</f>
        <v>#N/A</v>
      </c>
      <c r="B1200" s="77">
        <f>ROUND(PAGE8!$W$61,5)</f>
        <v>0</v>
      </c>
      <c r="C1200" s="43"/>
    </row>
    <row r="1201" spans="1:3">
      <c r="A1201" s="146" t="e">
        <f>$C$1&amp;".E30A.REM.AR.PBSEC.OS.H.M"</f>
        <v>#N/A</v>
      </c>
      <c r="B1201" s="77">
        <f>ROUND(PAGE8!$Y$61,5)</f>
        <v>0</v>
      </c>
      <c r="C1201" s="43"/>
    </row>
    <row r="1202" spans="1:3">
      <c r="A1202" s="146" t="e">
        <f>$C$1&amp;".E30A.REM.AR.PVFIN.APPR.L."</f>
        <v>#N/A</v>
      </c>
      <c r="B1202" s="77">
        <f>ROUND(PAGE8!$C$64,5)</f>
        <v>0</v>
      </c>
      <c r="C1202" s="43"/>
    </row>
    <row r="1203" spans="1:3">
      <c r="A1203" s="146" t="e">
        <f>$C$1&amp;".E30A.REM.AR.PVFIN.APPR.H."</f>
        <v>#N/A</v>
      </c>
      <c r="B1203" s="77">
        <f>ROUND(PAGE8!$E$64,5)</f>
        <v>0</v>
      </c>
      <c r="C1203" s="43"/>
    </row>
    <row r="1204" spans="1:3">
      <c r="A1204" s="146" t="e">
        <f>$C$1&amp;".E30A.REM.AR.PVFIN.APPR.L.M"</f>
        <v>#N/A</v>
      </c>
      <c r="B1204" s="77">
        <f>ROUND(PAGE8!$G$64,5)</f>
        <v>0</v>
      </c>
      <c r="C1204" s="43"/>
    </row>
    <row r="1205" spans="1:3">
      <c r="A1205" s="146" t="e">
        <f>$C$1&amp;".E30A.REM.AR.PVFIN.APPR.H.M"</f>
        <v>#N/A</v>
      </c>
      <c r="B1205" s="77">
        <f>ROUND(PAGE8!$I$64,5)</f>
        <v>0</v>
      </c>
      <c r="C1205" s="43"/>
    </row>
    <row r="1206" spans="1:3">
      <c r="A1206" s="146" t="e">
        <f>$C$1&amp;".E30A.REM.AR.PVFIN.DISB.L."</f>
        <v>#N/A</v>
      </c>
      <c r="B1206" s="77">
        <f>ROUND(PAGE8!$K$64,5)</f>
        <v>0</v>
      </c>
      <c r="C1206" s="43"/>
    </row>
    <row r="1207" spans="1:3">
      <c r="A1207" s="146" t="e">
        <f>$C$1&amp;".E30A.REM.AR.PVFIN.DISB.H."</f>
        <v>#N/A</v>
      </c>
      <c r="B1207" s="77">
        <f>ROUND(PAGE8!$M$64,5)</f>
        <v>0</v>
      </c>
      <c r="C1207" s="43"/>
    </row>
    <row r="1208" spans="1:3">
      <c r="A1208" s="146" t="e">
        <f>$C$1&amp;".E30A.REM.AR.PVFIN.DISB.L.M"</f>
        <v>#N/A</v>
      </c>
      <c r="B1208" s="77">
        <f>ROUND(PAGE8!$O$64,5)</f>
        <v>0</v>
      </c>
      <c r="C1208" s="43"/>
    </row>
    <row r="1209" spans="1:3">
      <c r="A1209" s="146" t="e">
        <f>$C$1&amp;".E30A.REM.AR.PVFIN.DISB.H.M"</f>
        <v>#N/A</v>
      </c>
      <c r="B1209" s="77">
        <f>ROUND(PAGE8!$Q$64,5)</f>
        <v>0</v>
      </c>
      <c r="C1209" s="43"/>
    </row>
    <row r="1210" spans="1:3">
      <c r="A1210" s="146" t="e">
        <f>$C$1&amp;".E30A.REM.AR.PVFIN.OS.L."</f>
        <v>#N/A</v>
      </c>
      <c r="B1210" s="77">
        <f>ROUND(PAGE8!$S$64,5)</f>
        <v>0</v>
      </c>
      <c r="C1210" s="43"/>
    </row>
    <row r="1211" spans="1:3">
      <c r="A1211" s="146" t="e">
        <f>$C$1&amp;".E30A.REM.AR.PVFIN.OS.H."</f>
        <v>#N/A</v>
      </c>
      <c r="B1211" s="77">
        <f>ROUND(PAGE8!$U$64,5)</f>
        <v>0</v>
      </c>
      <c r="C1211" s="43"/>
    </row>
    <row r="1212" spans="1:3">
      <c r="A1212" s="146" t="e">
        <f>$C$1&amp;".E30A.REM.AR.PVFIN.OS.L.M"</f>
        <v>#N/A</v>
      </c>
      <c r="B1212" s="77">
        <f>ROUND(PAGE8!$W$64,5)</f>
        <v>0</v>
      </c>
      <c r="C1212" s="43"/>
    </row>
    <row r="1213" spans="1:3">
      <c r="A1213" s="146" t="e">
        <f>$C$1&amp;".E30A.REM.AR.PVFIN.OS.H.M"</f>
        <v>#N/A</v>
      </c>
      <c r="B1213" s="77">
        <f>ROUND(PAGE8!$Y$64,5)</f>
        <v>0</v>
      </c>
      <c r="C1213" s="43"/>
    </row>
    <row r="1214" spans="1:3">
      <c r="A1214" s="146" t="e">
        <f>$C$1&amp;".E30A.REM.AR.IBUS.APPR.L."</f>
        <v>#N/A</v>
      </c>
      <c r="B1214" s="77">
        <f>ROUND(PAGE8!$C$67,5)</f>
        <v>0</v>
      </c>
      <c r="C1214" s="43"/>
    </row>
    <row r="1215" spans="1:3">
      <c r="A1215" s="146" t="e">
        <f>$C$1&amp;".E30A.REM.AR.IBUS.APPR.H."</f>
        <v>#N/A</v>
      </c>
      <c r="B1215" s="77">
        <f>ROUND(PAGE8!$E$67,5)</f>
        <v>0</v>
      </c>
      <c r="C1215" s="43"/>
    </row>
    <row r="1216" spans="1:3">
      <c r="A1216" s="146" t="e">
        <f>$C$1&amp;".E30A.REM.AR.IBUS.APPR.L.M"</f>
        <v>#N/A</v>
      </c>
      <c r="B1216" s="77">
        <f>ROUND(PAGE8!$G$67,5)</f>
        <v>0</v>
      </c>
      <c r="C1216" s="43"/>
    </row>
    <row r="1217" spans="1:3">
      <c r="A1217" s="146" t="e">
        <f>$C$1&amp;".E30A.REM.AR.IBUS.APPR.H.M"</f>
        <v>#N/A</v>
      </c>
      <c r="B1217" s="77">
        <f>ROUND(PAGE8!$I$67,5)</f>
        <v>0</v>
      </c>
      <c r="C1217" s="43"/>
    </row>
    <row r="1218" spans="1:3">
      <c r="A1218" s="146" t="e">
        <f>$C$1&amp;".E30A.REM.AR.IBUS.DISB.L."</f>
        <v>#N/A</v>
      </c>
      <c r="B1218" s="77">
        <f>ROUND(PAGE8!$K$67,5)</f>
        <v>0</v>
      </c>
      <c r="C1218" s="43"/>
    </row>
    <row r="1219" spans="1:3">
      <c r="A1219" s="146" t="e">
        <f>$C$1&amp;".E30A.REM.AR.IBUS.DISB.H."</f>
        <v>#N/A</v>
      </c>
      <c r="B1219" s="77">
        <f>ROUND(PAGE8!$M$67,5)</f>
        <v>0</v>
      </c>
      <c r="C1219" s="43"/>
    </row>
    <row r="1220" spans="1:3">
      <c r="A1220" s="146" t="e">
        <f>$C$1&amp;".E30A.REM.AR.IBUS.DISB.L.M"</f>
        <v>#N/A</v>
      </c>
      <c r="B1220" s="77">
        <f>ROUND(PAGE8!$O$67,5)</f>
        <v>0</v>
      </c>
      <c r="C1220" s="43"/>
    </row>
    <row r="1221" spans="1:3">
      <c r="A1221" s="146" t="e">
        <f>$C$1&amp;".E30A.REM.AR.IBUS.DISB.H.M"</f>
        <v>#N/A</v>
      </c>
      <c r="B1221" s="77">
        <f>ROUND(PAGE8!$Q$67,5)</f>
        <v>0</v>
      </c>
      <c r="C1221" s="43"/>
    </row>
    <row r="1222" spans="1:3">
      <c r="A1222" s="146" t="e">
        <f>$C$1&amp;".E30A.REM.AR.IBUS.OS.L."</f>
        <v>#N/A</v>
      </c>
      <c r="B1222" s="77">
        <f>ROUND(PAGE8!$S$67,5)</f>
        <v>0</v>
      </c>
      <c r="C1222" s="43"/>
    </row>
    <row r="1223" spans="1:3">
      <c r="A1223" s="146" t="e">
        <f>$C$1&amp;".E30A.REM.AR.IBUS.OS.H."</f>
        <v>#N/A</v>
      </c>
      <c r="B1223" s="77">
        <f>ROUND(PAGE8!$U$67,5)</f>
        <v>0</v>
      </c>
      <c r="C1223" s="43"/>
    </row>
    <row r="1224" spans="1:3">
      <c r="A1224" s="146" t="e">
        <f>$C$1&amp;".E30A.REM.AR.IBUS.OS.L.M"</f>
        <v>#N/A</v>
      </c>
      <c r="B1224" s="77">
        <f>ROUND(PAGE8!$W$67,5)</f>
        <v>0</v>
      </c>
      <c r="C1224" s="43"/>
    </row>
    <row r="1225" spans="1:3">
      <c r="A1225" s="146" t="e">
        <f>$C$1&amp;".E30A.REM.AR.IBUS.OS.H.M"</f>
        <v>#N/A</v>
      </c>
      <c r="B1225" s="77">
        <f>ROUND(PAGE8!$Y$67,5)</f>
        <v>0</v>
      </c>
      <c r="C1225" s="43"/>
    </row>
    <row r="1226" spans="1:3">
      <c r="A1226" s="146" t="e">
        <f>$C$1&amp;".E30A.REM.AR.UIBUS.APPR.L."</f>
        <v>#N/A</v>
      </c>
      <c r="B1226" s="77">
        <f>ROUND(PAGE8!$C$70,5)</f>
        <v>0</v>
      </c>
      <c r="C1226" s="43"/>
    </row>
    <row r="1227" spans="1:3">
      <c r="A1227" s="146" t="e">
        <f>$C$1&amp;".E30A.REM.AR.UIBUS.APPR.H."</f>
        <v>#N/A</v>
      </c>
      <c r="B1227" s="77">
        <f>ROUND(PAGE8!$E$70,5)</f>
        <v>0</v>
      </c>
      <c r="C1227" s="43"/>
    </row>
    <row r="1228" spans="1:3">
      <c r="A1228" s="146" t="e">
        <f>$C$1&amp;".E30A.REM.AR.UIBUS.APPR.L.M"</f>
        <v>#N/A</v>
      </c>
      <c r="B1228" s="77">
        <f>ROUND(PAGE8!$G$70,5)</f>
        <v>0</v>
      </c>
      <c r="C1228" s="43"/>
    </row>
    <row r="1229" spans="1:3">
      <c r="A1229" s="146" t="e">
        <f>$C$1&amp;".E30A.REM.AR.UIBUS.APPR.H.M"</f>
        <v>#N/A</v>
      </c>
      <c r="B1229" s="77">
        <f>ROUND(PAGE8!$I$70,5)</f>
        <v>0</v>
      </c>
      <c r="C1229" s="43"/>
    </row>
    <row r="1230" spans="1:3">
      <c r="A1230" s="146" t="e">
        <f>$C$1&amp;".E30A.REM.AR.UIBUS.DISB.L."</f>
        <v>#N/A</v>
      </c>
      <c r="B1230" s="77">
        <f>ROUND(PAGE8!$K$70,5)</f>
        <v>0</v>
      </c>
      <c r="C1230" s="43"/>
    </row>
    <row r="1231" spans="1:3">
      <c r="A1231" s="146" t="e">
        <f>$C$1&amp;".E30A.REM.AR.UIBUS.DISB.H."</f>
        <v>#N/A</v>
      </c>
      <c r="B1231" s="77">
        <f>ROUND(PAGE8!$M$70,5)</f>
        <v>0</v>
      </c>
      <c r="C1231" s="43"/>
    </row>
    <row r="1232" spans="1:3">
      <c r="A1232" s="146" t="e">
        <f>$C$1&amp;".E30A.REM.AR.UIBUS.DISB.L.M"</f>
        <v>#N/A</v>
      </c>
      <c r="B1232" s="77">
        <f>ROUND(PAGE8!$O$70,5)</f>
        <v>0</v>
      </c>
      <c r="C1232" s="43"/>
    </row>
    <row r="1233" spans="1:3">
      <c r="A1233" s="146" t="e">
        <f>$C$1&amp;".E30A.REM.AR.UIBUS.DISB.H.M"</f>
        <v>#N/A</v>
      </c>
      <c r="B1233" s="77">
        <f>ROUND(PAGE8!$Q$70,5)</f>
        <v>0</v>
      </c>
      <c r="C1233" s="43"/>
    </row>
    <row r="1234" spans="1:3">
      <c r="A1234" s="146" t="e">
        <f>$C$1&amp;".E30A.REM.AR.UIBUS.OS.L."</f>
        <v>#N/A</v>
      </c>
      <c r="B1234" s="77">
        <f>ROUND(PAGE8!$S$70,5)</f>
        <v>0</v>
      </c>
      <c r="C1234" s="43"/>
    </row>
    <row r="1235" spans="1:3">
      <c r="A1235" s="146" t="e">
        <f>$C$1&amp;".E30A.REM.AR.UIBUS.OS.H."</f>
        <v>#N/A</v>
      </c>
      <c r="B1235" s="77">
        <f>ROUND(PAGE8!$U$70,5)</f>
        <v>0</v>
      </c>
      <c r="C1235" s="43"/>
    </row>
    <row r="1236" spans="1:3">
      <c r="A1236" s="146" t="e">
        <f>$C$1&amp;".E30A.REM.AR.UIBUS.OS.L.M"</f>
        <v>#N/A</v>
      </c>
      <c r="B1236" s="77">
        <f>ROUND(PAGE8!$W$70,5)</f>
        <v>0</v>
      </c>
      <c r="C1236" s="43"/>
    </row>
    <row r="1237" spans="1:3">
      <c r="A1237" s="146" t="e">
        <f>$C$1&amp;".E30A.REM.AR.UIBUS.OS.H.M"</f>
        <v>#N/A</v>
      </c>
      <c r="B1237" s="77">
        <f>ROUND(PAGE8!$Y$70,5)</f>
        <v>0</v>
      </c>
      <c r="C1237" s="43"/>
    </row>
    <row r="1238" spans="1:3">
      <c r="A1238" s="146" t="e">
        <f>$C$1&amp;".E30A.REM.AR.CONSM.APPR.L."</f>
        <v>#N/A</v>
      </c>
      <c r="B1238" s="77">
        <f>ROUND(PAGE8!$C$72,5)</f>
        <v>0</v>
      </c>
      <c r="C1238" s="43"/>
    </row>
    <row r="1239" spans="1:3">
      <c r="A1239" s="146" t="e">
        <f>$C$1&amp;".E30A.REM.AR.CONSM.APPR.H."</f>
        <v>#N/A</v>
      </c>
      <c r="B1239" s="77">
        <f>ROUND(PAGE8!$E$72,5)</f>
        <v>0</v>
      </c>
      <c r="C1239" s="43"/>
    </row>
    <row r="1240" spans="1:3">
      <c r="A1240" s="146" t="e">
        <f>$C$1&amp;".E30A.REM.AR.CONSM.APPR.L.M"</f>
        <v>#N/A</v>
      </c>
      <c r="B1240" s="77">
        <f>ROUND(PAGE8!$G$72,5)</f>
        <v>0</v>
      </c>
      <c r="C1240" s="43"/>
    </row>
    <row r="1241" spans="1:3">
      <c r="A1241" s="146" t="e">
        <f>$C$1&amp;".E30A.REM.AR.CONSM.APPR.H.M"</f>
        <v>#N/A</v>
      </c>
      <c r="B1241" s="77">
        <f>ROUND(PAGE8!$I$72,5)</f>
        <v>0</v>
      </c>
      <c r="C1241" s="43"/>
    </row>
    <row r="1242" spans="1:3">
      <c r="A1242" s="146" t="e">
        <f>$C$1&amp;".E30A.REM.AR.CONSM.DISB.L."</f>
        <v>#N/A</v>
      </c>
      <c r="B1242" s="77">
        <f>ROUND(PAGE8!$K$72,5)</f>
        <v>0</v>
      </c>
      <c r="C1242" s="43"/>
    </row>
    <row r="1243" spans="1:3">
      <c r="A1243" s="146" t="e">
        <f>$C$1&amp;".E30A.REM.AR.CONSM.DISB.H."</f>
        <v>#N/A</v>
      </c>
      <c r="B1243" s="77">
        <f>ROUND(PAGE8!$M$72,5)</f>
        <v>0</v>
      </c>
      <c r="C1243" s="43"/>
    </row>
    <row r="1244" spans="1:3">
      <c r="A1244" s="146" t="e">
        <f>$C$1&amp;".E30A.REM.AR.CONSM.DISB.L.M"</f>
        <v>#N/A</v>
      </c>
      <c r="B1244" s="77">
        <f>ROUND(PAGE8!$O$72,5)</f>
        <v>0</v>
      </c>
      <c r="C1244" s="43"/>
    </row>
    <row r="1245" spans="1:3">
      <c r="A1245" s="146" t="e">
        <f>$C$1&amp;".E30A.REM.AR.CONSM.DISB.H.M"</f>
        <v>#N/A</v>
      </c>
      <c r="B1245" s="77">
        <f>ROUND(PAGE8!$Q$72,5)</f>
        <v>0</v>
      </c>
      <c r="C1245" s="43"/>
    </row>
    <row r="1246" spans="1:3">
      <c r="A1246" s="146" t="e">
        <f>$C$1&amp;".E30A.REM.AR.CONSM.OS.L."</f>
        <v>#N/A</v>
      </c>
      <c r="B1246" s="77">
        <f>ROUND(PAGE8!$S$72,5)</f>
        <v>0</v>
      </c>
      <c r="C1246" s="43"/>
    </row>
    <row r="1247" spans="1:3">
      <c r="A1247" s="146" t="e">
        <f>$C$1&amp;".E30A.REM.AR.CONSM.OS.H."</f>
        <v>#N/A</v>
      </c>
      <c r="B1247" s="77">
        <f>ROUND(PAGE8!$U$72,5)</f>
        <v>0</v>
      </c>
      <c r="C1247" s="43"/>
    </row>
    <row r="1248" spans="1:3">
      <c r="A1248" s="146" t="e">
        <f>$C$1&amp;".E30A.REM.AR.CONSM.OS.L.M"</f>
        <v>#N/A</v>
      </c>
      <c r="B1248" s="77">
        <f>ROUND(PAGE8!$W$72,5)</f>
        <v>0</v>
      </c>
      <c r="C1248" s="43"/>
    </row>
    <row r="1249" spans="1:3">
      <c r="A1249" s="146" t="e">
        <f>$C$1&amp;".E30A.REM.AR.CONSM.OS.H.M"</f>
        <v>#N/A</v>
      </c>
      <c r="B1249" s="77">
        <f>ROUND(PAGE8!$Y$72,5)</f>
        <v>0</v>
      </c>
      <c r="C1249" s="43"/>
    </row>
    <row r="1250" spans="1:3">
      <c r="A1250" s="153" t="s">
        <v>171</v>
      </c>
      <c r="B1250" s="43" t="s">
        <v>116</v>
      </c>
      <c r="C1250" s="43"/>
    </row>
    <row r="1251" spans="1:3">
      <c r="A1251" s="146" t="e">
        <f>$C$1&amp;".E30A.TR_FNDS.RE_MRTG_LNS_NRES.."</f>
        <v>#N/A</v>
      </c>
      <c r="B1251" s="43">
        <f>ROUND(PAGE9!$I$17,5)</f>
        <v>0</v>
      </c>
      <c r="C1251" s="43"/>
    </row>
    <row r="1252" spans="1:3">
      <c r="A1252" s="146" t="e">
        <f>$C$1&amp;".E30A.TR_FNDS.RE_MRTG_LNS_RES.."</f>
        <v>#N/A</v>
      </c>
      <c r="B1252" s="43">
        <f>ROUND(PAGE9!$I$15,5)</f>
        <v>0</v>
      </c>
      <c r="C1252" s="43"/>
    </row>
    <row r="1253" spans="1:3">
      <c r="A1253" s="146" t="e">
        <f>$C$1&amp;".E30A.TR_FNDS.RE_MRTG_LNS_TTL.."</f>
        <v>#N/A</v>
      </c>
      <c r="B1253" s="43">
        <f>ROUND(PAGE9!$I$13,5)</f>
        <v>0</v>
      </c>
      <c r="C1253" s="43"/>
    </row>
  </sheetData>
  <sheetProtection algorithmName="SHA-512" hashValue="bQpZylDS+uwHndJXN4h/EpRv8COx0zVpqDRe9OmwCx9t9jKG4JOV2+dSIPuu0H2h2gemiXR9VSZVaFQUL06HyQ==" saltValue="SkDBSiiyXRszm9WvrCOrHg==" spinCount="100000" sheet="1" selectLockedCells="1"/>
  <customSheetViews>
    <customSheetView guid="{6BAB6937-F4A7-406E-B6D7-F3AB26E9CB76}">
      <selection activeCell="A12" sqref="A12"/>
      <pageMargins left="0.7" right="0.7" top="0.75" bottom="0.75" header="0.3" footer="0.3"/>
      <pageSetup paperSize="9" orientation="portrait" r:id="rId1"/>
    </customSheetView>
    <customSheetView guid="{6FD7F56A-E857-4CED-A5A1-7DEC8753A8FB}" topLeftCell="A223">
      <selection activeCell="A232" sqref="A232"/>
      <pageMargins left="0.7" right="0.7" top="0.75" bottom="0.75" header="0.3" footer="0.3"/>
      <pageSetup paperSize="9" orientation="portrait" r:id="rId2"/>
    </customSheetView>
    <customSheetView guid="{91D31259-BF8C-4449-A829-EAD5467CE226}" topLeftCell="A223">
      <selection activeCell="B232" sqref="B232"/>
      <pageMargins left="0.7" right="0.7" top="0.75" bottom="0.75" header="0.3" footer="0.3"/>
      <pageSetup paperSize="9" orientation="portrait" r:id="rId3"/>
    </customSheetView>
  </customSheetViews>
  <pageMargins left="0.7" right="0.7" top="0.75" bottom="0.75" header="0.3" footer="0.3"/>
  <pageSetup paperSize="9" orientation="portrait" r:id="rId4"/>
  <ignoredErrors>
    <ignoredError sqref="A3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X100"/>
  <sheetViews>
    <sheetView showGridLines="0" topLeftCell="A29" zoomScale="96" zoomScaleNormal="96" workbookViewId="0">
      <selection activeCell="I29" sqref="I29"/>
    </sheetView>
  </sheetViews>
  <sheetFormatPr defaultColWidth="8.85546875" defaultRowHeight="11.25"/>
  <cols>
    <col min="1" max="1" width="2" style="7" customWidth="1"/>
    <col min="2" max="2" width="19.85546875" style="7" bestFit="1" customWidth="1"/>
    <col min="3" max="3" width="14.140625" style="5" customWidth="1"/>
    <col min="4" max="4" width="1.85546875" style="7" customWidth="1"/>
    <col min="5" max="5" width="9.85546875" style="5" customWidth="1"/>
    <col min="6" max="6" width="1.85546875" style="7" customWidth="1"/>
    <col min="7" max="7" width="5.85546875" style="5" customWidth="1"/>
    <col min="8" max="8" width="1.85546875" style="7" customWidth="1"/>
    <col min="9" max="9" width="9.85546875" style="5" customWidth="1"/>
    <col min="10" max="10" width="1.85546875" style="7" customWidth="1"/>
    <col min="11" max="11" width="5.85546875" style="5" customWidth="1"/>
    <col min="12" max="12" width="1.85546875" style="7" customWidth="1"/>
    <col min="13" max="13" width="9.85546875" style="5" customWidth="1"/>
    <col min="14" max="14" width="1.85546875" style="7" customWidth="1"/>
    <col min="15" max="15" width="7" style="5" customWidth="1"/>
    <col min="16" max="16" width="1.85546875" style="7" customWidth="1"/>
    <col min="17" max="17" width="10.85546875" style="5" customWidth="1"/>
    <col min="18" max="16384" width="8.85546875" style="7"/>
  </cols>
  <sheetData>
    <row r="2" spans="1:24" ht="12.75">
      <c r="A2" s="3"/>
      <c r="B2" s="4"/>
      <c r="D2" s="4"/>
      <c r="F2" s="4"/>
      <c r="H2" s="4"/>
      <c r="J2" s="6"/>
      <c r="L2" s="4"/>
      <c r="N2" s="4"/>
      <c r="P2" s="4"/>
      <c r="Q2" s="17" t="s">
        <v>196</v>
      </c>
    </row>
    <row r="3" spans="1:24">
      <c r="A3" s="3"/>
      <c r="B3" s="4"/>
      <c r="D3" s="4"/>
      <c r="F3" s="4"/>
      <c r="H3" s="4"/>
      <c r="J3" s="4"/>
      <c r="L3" s="4"/>
      <c r="N3" s="4"/>
      <c r="P3" s="4"/>
    </row>
    <row r="4" spans="1:24" ht="15.75">
      <c r="A4" s="196" t="s">
        <v>0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/>
      <c r="S4"/>
      <c r="T4"/>
      <c r="U4"/>
      <c r="V4"/>
      <c r="W4"/>
      <c r="X4"/>
    </row>
    <row r="5" spans="1:24">
      <c r="A5" s="8"/>
      <c r="B5" s="4"/>
      <c r="D5" s="4"/>
      <c r="F5" s="4"/>
      <c r="H5" s="4"/>
      <c r="J5" s="4"/>
      <c r="L5" s="4"/>
      <c r="N5" s="4"/>
      <c r="P5" s="4"/>
    </row>
    <row r="6" spans="1:24" ht="15.75">
      <c r="A6" s="196" t="s">
        <v>133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</row>
    <row r="7" spans="1:24" ht="15.75">
      <c r="A7" s="22"/>
      <c r="B7" s="23"/>
      <c r="C7" s="24"/>
      <c r="D7" s="23"/>
      <c r="E7" s="24"/>
      <c r="F7" s="23"/>
      <c r="G7" s="24"/>
      <c r="H7" s="23"/>
      <c r="I7" s="24"/>
      <c r="J7" s="23"/>
      <c r="K7" s="24"/>
      <c r="L7" s="23"/>
      <c r="M7" s="24"/>
      <c r="N7" s="23"/>
      <c r="O7" s="24"/>
      <c r="P7" s="23"/>
      <c r="Q7" s="24"/>
    </row>
    <row r="8" spans="1:24" ht="15.75">
      <c r="A8" s="197" t="s">
        <v>134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</row>
    <row r="9" spans="1:24" ht="16.5" customHeight="1"/>
    <row r="10" spans="1:24" ht="16.5" customHeight="1"/>
    <row r="11" spans="1:24" ht="12.75">
      <c r="A11" s="9"/>
      <c r="B11" s="25" t="s">
        <v>132</v>
      </c>
      <c r="C11" s="195" t="str">
        <f>'COVER PAGE'!C7:J7</f>
        <v>SELECT INSTITUTION</v>
      </c>
      <c r="D11" s="195"/>
      <c r="E11" s="195"/>
      <c r="F11" s="195"/>
      <c r="G11" s="195"/>
      <c r="H11" s="195"/>
      <c r="I11" s="195"/>
      <c r="J11" s="11"/>
      <c r="K11" s="12"/>
      <c r="L11" s="9"/>
      <c r="M11" s="13"/>
    </row>
    <row r="12" spans="1:24" ht="12.75">
      <c r="A12" s="9"/>
      <c r="B12" s="25"/>
      <c r="C12" s="26"/>
      <c r="D12" s="27"/>
      <c r="E12" s="28"/>
      <c r="F12" s="29"/>
      <c r="G12" s="30"/>
      <c r="H12" s="27"/>
      <c r="I12" s="30"/>
      <c r="K12" s="12"/>
      <c r="L12" s="9"/>
      <c r="M12" s="13"/>
    </row>
    <row r="13" spans="1:24" ht="6" customHeight="1">
      <c r="A13" s="9"/>
      <c r="B13" s="31"/>
      <c r="C13" s="26"/>
      <c r="D13" s="27"/>
      <c r="E13" s="28"/>
      <c r="F13" s="29"/>
      <c r="G13" s="30"/>
      <c r="H13" s="27"/>
      <c r="I13" s="30"/>
      <c r="K13" s="12"/>
      <c r="L13" s="9"/>
      <c r="M13" s="13"/>
    </row>
    <row r="14" spans="1:24" ht="12.75" customHeight="1">
      <c r="B14" s="31" t="s">
        <v>1</v>
      </c>
      <c r="C14" s="161" t="str">
        <f>VLOOKUP('COVER PAGE'!F9,Controls!$H$4:$K$147,3,FALSE)</f>
        <v>September</v>
      </c>
      <c r="D14" s="27"/>
      <c r="E14" s="30"/>
      <c r="F14" s="27"/>
      <c r="G14" s="30"/>
      <c r="H14" s="27"/>
      <c r="I14" s="30"/>
    </row>
    <row r="15" spans="1:24" ht="5.25" customHeight="1">
      <c r="B15" s="31"/>
      <c r="C15" s="26"/>
      <c r="D15" s="27"/>
      <c r="E15" s="30"/>
      <c r="F15" s="27"/>
      <c r="G15" s="30"/>
      <c r="H15" s="27"/>
      <c r="I15" s="30"/>
    </row>
    <row r="16" spans="1:24" ht="15" customHeight="1">
      <c r="B16" s="25" t="s">
        <v>2</v>
      </c>
      <c r="C16" s="162">
        <f>VLOOKUP('COVER PAGE'!F9,Controls!$H$4:$K$147,4,FALSE)</f>
        <v>24</v>
      </c>
      <c r="D16" s="27"/>
      <c r="E16" s="30"/>
      <c r="F16" s="27"/>
      <c r="G16" s="30"/>
      <c r="H16" s="27"/>
      <c r="I16" s="30"/>
    </row>
    <row r="17" spans="1:17">
      <c r="B17" s="10"/>
      <c r="C17" s="13"/>
    </row>
    <row r="18" spans="1:17" ht="12.75">
      <c r="A18" s="9"/>
      <c r="B18" s="9"/>
      <c r="C18" s="32" t="s">
        <v>3</v>
      </c>
      <c r="D18" s="33"/>
      <c r="E18" s="17"/>
      <c r="F18" s="21"/>
      <c r="G18" s="32" t="s">
        <v>98</v>
      </c>
      <c r="H18" s="33"/>
      <c r="I18" s="17"/>
      <c r="J18" s="21"/>
      <c r="K18" s="32" t="s">
        <v>97</v>
      </c>
      <c r="L18" s="33"/>
      <c r="M18" s="17"/>
      <c r="N18" s="21"/>
      <c r="O18" s="32" t="s">
        <v>90</v>
      </c>
      <c r="P18" s="33"/>
      <c r="Q18" s="17"/>
    </row>
    <row r="19" spans="1:17" ht="12.75">
      <c r="A19" s="34" t="s">
        <v>4</v>
      </c>
      <c r="B19" s="34" t="s">
        <v>5</v>
      </c>
      <c r="C19" s="32" t="s">
        <v>6</v>
      </c>
      <c r="D19" s="33"/>
      <c r="E19" s="17"/>
      <c r="F19" s="21"/>
      <c r="G19" s="32" t="s">
        <v>7</v>
      </c>
      <c r="H19" s="33"/>
      <c r="I19" s="17"/>
      <c r="J19" s="21"/>
      <c r="K19" s="32" t="s">
        <v>7</v>
      </c>
      <c r="L19" s="33"/>
      <c r="M19" s="17"/>
      <c r="N19" s="21"/>
      <c r="O19" s="32" t="s">
        <v>8</v>
      </c>
      <c r="P19" s="33"/>
      <c r="Q19" s="17"/>
    </row>
    <row r="20" spans="1:17" ht="12.75">
      <c r="A20" s="9"/>
      <c r="B20" s="9"/>
      <c r="C20" s="32" t="s">
        <v>9</v>
      </c>
      <c r="D20" s="33"/>
      <c r="E20" s="17"/>
      <c r="F20" s="21"/>
      <c r="G20" s="32" t="s">
        <v>10</v>
      </c>
      <c r="H20" s="33"/>
      <c r="I20" s="17"/>
      <c r="J20" s="21"/>
      <c r="K20" s="32" t="s">
        <v>10</v>
      </c>
      <c r="L20" s="33"/>
      <c r="M20" s="17"/>
      <c r="N20" s="21"/>
      <c r="O20" s="32" t="s">
        <v>11</v>
      </c>
      <c r="P20" s="33"/>
      <c r="Q20" s="17"/>
    </row>
    <row r="21" spans="1:17" ht="12.75">
      <c r="A21" s="9"/>
      <c r="B21" s="9"/>
      <c r="C21" s="17"/>
      <c r="D21" s="9"/>
      <c r="E21" s="17"/>
      <c r="F21" s="9"/>
      <c r="G21" s="17"/>
      <c r="H21" s="9"/>
      <c r="I21" s="17"/>
      <c r="J21" s="9"/>
      <c r="K21" s="17"/>
      <c r="L21" s="9"/>
      <c r="M21" s="17"/>
      <c r="N21" s="9"/>
      <c r="O21" s="17"/>
      <c r="P21" s="9"/>
      <c r="Q21" s="17"/>
    </row>
    <row r="22" spans="1:17" ht="12.75">
      <c r="A22" s="9"/>
      <c r="B22" s="9"/>
      <c r="C22" s="17" t="s">
        <v>12</v>
      </c>
      <c r="D22" s="35"/>
      <c r="E22" s="17" t="s">
        <v>13</v>
      </c>
      <c r="F22" s="35"/>
      <c r="G22" s="17" t="s">
        <v>12</v>
      </c>
      <c r="H22" s="35"/>
      <c r="I22" s="17" t="s">
        <v>13</v>
      </c>
      <c r="J22" s="35"/>
      <c r="K22" s="17" t="s">
        <v>12</v>
      </c>
      <c r="L22" s="35"/>
      <c r="M22" s="17" t="s">
        <v>13</v>
      </c>
      <c r="N22" s="35"/>
      <c r="O22" s="17" t="s">
        <v>12</v>
      </c>
      <c r="P22" s="35"/>
      <c r="Q22" s="17" t="s">
        <v>13</v>
      </c>
    </row>
    <row r="23" spans="1:17" ht="12.75">
      <c r="A23" s="9"/>
      <c r="B23" s="9"/>
      <c r="C23" s="17"/>
      <c r="D23" s="35"/>
      <c r="E23" s="36" t="s">
        <v>14</v>
      </c>
      <c r="F23" s="37"/>
      <c r="G23" s="17"/>
      <c r="H23" s="35"/>
      <c r="I23" s="36" t="s">
        <v>14</v>
      </c>
      <c r="J23" s="37"/>
      <c r="K23" s="17"/>
      <c r="L23" s="35"/>
      <c r="M23" s="36" t="s">
        <v>14</v>
      </c>
      <c r="N23" s="37"/>
      <c r="O23" s="17"/>
      <c r="P23" s="35"/>
      <c r="Q23" s="36" t="s">
        <v>14</v>
      </c>
    </row>
    <row r="24" spans="1:17">
      <c r="D24" s="6"/>
      <c r="F24" s="6"/>
      <c r="H24" s="6"/>
      <c r="J24" s="6"/>
      <c r="L24" s="6"/>
      <c r="N24" s="6"/>
      <c r="P24" s="6"/>
    </row>
    <row r="25" spans="1:17" ht="13.5" thickBot="1">
      <c r="A25" s="9" t="s">
        <v>15</v>
      </c>
      <c r="B25" s="38" t="s">
        <v>16</v>
      </c>
      <c r="C25" s="14">
        <f>SUM(C26:C37)</f>
        <v>0</v>
      </c>
      <c r="D25" s="39"/>
      <c r="E25" s="14">
        <f>SUM(E26:E37)</f>
        <v>0</v>
      </c>
      <c r="F25" s="39"/>
      <c r="G25" s="14">
        <f>SUM(G26:G37)</f>
        <v>0</v>
      </c>
      <c r="H25" s="39"/>
      <c r="I25" s="14">
        <f>SUM(I26:I37)</f>
        <v>0</v>
      </c>
      <c r="J25" s="39"/>
      <c r="K25" s="14">
        <f>SUM(K26:K37)</f>
        <v>0</v>
      </c>
      <c r="L25" s="15"/>
      <c r="M25" s="14">
        <f>SUM(M26:M37)</f>
        <v>0</v>
      </c>
      <c r="N25" s="15"/>
      <c r="O25" s="14">
        <f>SUM(O26:O37)</f>
        <v>0</v>
      </c>
      <c r="P25" s="15"/>
      <c r="Q25" s="14">
        <f>SUM(Q26:Q37)</f>
        <v>0</v>
      </c>
    </row>
    <row r="26" spans="1:17" ht="12.75">
      <c r="A26" s="9"/>
      <c r="B26" s="9" t="s">
        <v>96</v>
      </c>
      <c r="C26" s="16"/>
      <c r="D26" s="40"/>
      <c r="E26" s="16"/>
      <c r="F26" s="40"/>
      <c r="G26" s="16"/>
      <c r="H26" s="40"/>
      <c r="I26" s="16"/>
      <c r="J26" s="40"/>
      <c r="K26" s="16"/>
      <c r="L26" s="40"/>
      <c r="M26" s="16"/>
      <c r="N26" s="9"/>
      <c r="O26" s="16"/>
      <c r="P26" s="40"/>
      <c r="Q26" s="16"/>
    </row>
    <row r="27" spans="1:17" ht="12.75">
      <c r="A27" s="9"/>
      <c r="B27" s="9" t="s">
        <v>135</v>
      </c>
      <c r="C27" s="16"/>
      <c r="D27" s="40"/>
      <c r="E27" s="16"/>
      <c r="F27" s="40"/>
      <c r="G27" s="16"/>
      <c r="H27" s="40"/>
      <c r="I27" s="16"/>
      <c r="J27" s="40"/>
      <c r="K27" s="16"/>
      <c r="L27" s="40"/>
      <c r="M27" s="16"/>
      <c r="N27" s="9"/>
      <c r="O27" s="16"/>
      <c r="P27" s="40"/>
      <c r="Q27" s="16"/>
    </row>
    <row r="28" spans="1:17" ht="12.75">
      <c r="A28" s="9"/>
      <c r="B28" s="9" t="s">
        <v>136</v>
      </c>
      <c r="C28" s="16"/>
      <c r="D28" s="40"/>
      <c r="E28" s="16"/>
      <c r="F28" s="40"/>
      <c r="G28" s="16"/>
      <c r="H28" s="40"/>
      <c r="I28" s="16"/>
      <c r="J28" s="40"/>
      <c r="K28" s="16"/>
      <c r="L28" s="40"/>
      <c r="M28" s="16"/>
      <c r="N28" s="9"/>
      <c r="O28" s="16"/>
      <c r="P28" s="40"/>
      <c r="Q28" s="16"/>
    </row>
    <row r="29" spans="1:17" ht="12.75">
      <c r="A29" s="9"/>
      <c r="B29" s="9" t="s">
        <v>137</v>
      </c>
      <c r="C29" s="16"/>
      <c r="D29" s="40"/>
      <c r="E29" s="16"/>
      <c r="F29" s="40"/>
      <c r="G29" s="16"/>
      <c r="H29" s="40"/>
      <c r="I29" s="16"/>
      <c r="J29" s="40"/>
      <c r="K29" s="16"/>
      <c r="L29" s="40"/>
      <c r="M29" s="16"/>
      <c r="N29" s="9"/>
      <c r="O29" s="16"/>
      <c r="P29" s="40"/>
      <c r="Q29" s="16"/>
    </row>
    <row r="30" spans="1:17" ht="12.75">
      <c r="A30" s="9"/>
      <c r="B30" s="9" t="s">
        <v>138</v>
      </c>
      <c r="C30" s="16"/>
      <c r="D30" s="40"/>
      <c r="E30" s="16"/>
      <c r="F30" s="40"/>
      <c r="G30" s="16"/>
      <c r="H30" s="40"/>
      <c r="I30" s="16"/>
      <c r="J30" s="40"/>
      <c r="K30" s="16"/>
      <c r="L30" s="40"/>
      <c r="M30" s="16"/>
      <c r="N30" s="9"/>
      <c r="O30" s="16"/>
      <c r="P30" s="40"/>
      <c r="Q30" s="16"/>
    </row>
    <row r="31" spans="1:17" ht="12.75">
      <c r="A31" s="9"/>
      <c r="B31" s="9" t="s">
        <v>139</v>
      </c>
      <c r="C31" s="16"/>
      <c r="D31" s="40"/>
      <c r="E31" s="16"/>
      <c r="F31" s="40"/>
      <c r="G31" s="16"/>
      <c r="H31" s="40"/>
      <c r="I31" s="16"/>
      <c r="J31" s="40"/>
      <c r="K31" s="16"/>
      <c r="L31" s="40"/>
      <c r="M31" s="16"/>
      <c r="N31" s="9"/>
      <c r="O31" s="16"/>
      <c r="P31" s="40"/>
      <c r="Q31" s="16"/>
    </row>
    <row r="32" spans="1:17" ht="12.75">
      <c r="A32" s="9"/>
      <c r="B32" s="9" t="s">
        <v>140</v>
      </c>
      <c r="C32" s="16"/>
      <c r="D32" s="40"/>
      <c r="E32" s="16"/>
      <c r="F32" s="40"/>
      <c r="G32" s="16"/>
      <c r="H32" s="40"/>
      <c r="I32" s="16"/>
      <c r="J32" s="40"/>
      <c r="K32" s="16"/>
      <c r="L32" s="40"/>
      <c r="M32" s="16"/>
      <c r="N32" s="9"/>
      <c r="O32" s="16"/>
      <c r="P32" s="40"/>
      <c r="Q32" s="16"/>
    </row>
    <row r="33" spans="1:17" ht="12.75">
      <c r="A33" s="9"/>
      <c r="B33" s="9" t="s">
        <v>141</v>
      </c>
      <c r="C33" s="16"/>
      <c r="D33" s="40"/>
      <c r="E33" s="16"/>
      <c r="F33" s="40"/>
      <c r="G33" s="16"/>
      <c r="H33" s="40"/>
      <c r="I33" s="16"/>
      <c r="J33" s="40"/>
      <c r="K33" s="16"/>
      <c r="L33" s="40"/>
      <c r="M33" s="16"/>
      <c r="N33" s="9"/>
      <c r="O33" s="16"/>
      <c r="P33" s="40"/>
      <c r="Q33" s="16"/>
    </row>
    <row r="34" spans="1:17" ht="12.75">
      <c r="A34" s="9"/>
      <c r="B34" s="9" t="s">
        <v>142</v>
      </c>
      <c r="C34" s="16"/>
      <c r="D34" s="40"/>
      <c r="E34" s="16"/>
      <c r="F34" s="40"/>
      <c r="G34" s="16"/>
      <c r="H34" s="40"/>
      <c r="I34" s="16"/>
      <c r="J34" s="40"/>
      <c r="K34" s="16"/>
      <c r="L34" s="40"/>
      <c r="M34" s="16"/>
      <c r="N34" s="9"/>
      <c r="O34" s="16"/>
      <c r="P34" s="40"/>
      <c r="Q34" s="16"/>
    </row>
    <row r="35" spans="1:17" ht="12.75">
      <c r="A35" s="9"/>
      <c r="B35" s="9" t="s">
        <v>143</v>
      </c>
      <c r="C35" s="16"/>
      <c r="D35" s="40"/>
      <c r="E35" s="16"/>
      <c r="F35" s="40"/>
      <c r="G35" s="16"/>
      <c r="H35" s="40"/>
      <c r="I35" s="16"/>
      <c r="J35" s="40"/>
      <c r="K35" s="16"/>
      <c r="L35" s="40"/>
      <c r="M35" s="16"/>
      <c r="N35" s="9"/>
      <c r="O35" s="16"/>
      <c r="P35" s="40"/>
      <c r="Q35" s="16"/>
    </row>
    <row r="36" spans="1:17" ht="12.75">
      <c r="A36" s="9"/>
      <c r="B36" s="9" t="s">
        <v>144</v>
      </c>
      <c r="C36" s="16"/>
      <c r="D36" s="40"/>
      <c r="E36" s="16"/>
      <c r="F36" s="40"/>
      <c r="G36" s="16"/>
      <c r="H36" s="40"/>
      <c r="I36" s="16"/>
      <c r="J36" s="40"/>
      <c r="K36" s="16"/>
      <c r="L36" s="40"/>
      <c r="M36" s="16"/>
      <c r="N36" s="9"/>
      <c r="O36" s="16"/>
      <c r="P36" s="40"/>
      <c r="Q36" s="16"/>
    </row>
    <row r="37" spans="1:17" ht="12.75">
      <c r="A37" s="9"/>
      <c r="B37" s="9" t="s">
        <v>103</v>
      </c>
      <c r="C37" s="16"/>
      <c r="D37" s="40"/>
      <c r="E37" s="16"/>
      <c r="F37" s="40"/>
      <c r="G37" s="16"/>
      <c r="H37" s="40"/>
      <c r="I37" s="16"/>
      <c r="J37" s="40"/>
      <c r="K37" s="16"/>
      <c r="L37" s="40"/>
      <c r="M37" s="16"/>
      <c r="N37" s="9"/>
      <c r="O37" s="16"/>
      <c r="P37" s="40"/>
      <c r="Q37" s="16"/>
    </row>
    <row r="38" spans="1:17" ht="12.75">
      <c r="A38" s="9"/>
      <c r="B38" s="9"/>
      <c r="C38" s="17"/>
      <c r="D38" s="35"/>
      <c r="E38" s="17"/>
      <c r="F38" s="35"/>
      <c r="G38" s="17"/>
      <c r="H38" s="35"/>
      <c r="I38" s="17"/>
      <c r="J38" s="35"/>
      <c r="K38" s="17"/>
      <c r="L38" s="35"/>
      <c r="M38" s="17"/>
      <c r="N38" s="35"/>
      <c r="O38" s="17"/>
      <c r="P38" s="35"/>
      <c r="Q38" s="17"/>
    </row>
    <row r="39" spans="1:17" ht="12" customHeight="1">
      <c r="A39" s="9" t="s">
        <v>17</v>
      </c>
      <c r="B39" s="38" t="s">
        <v>18</v>
      </c>
      <c r="C39" s="41"/>
      <c r="D39" s="40"/>
      <c r="E39" s="41"/>
      <c r="F39" s="40"/>
      <c r="G39" s="41"/>
      <c r="H39" s="40"/>
      <c r="I39" s="41"/>
      <c r="J39" s="40"/>
      <c r="K39" s="41"/>
      <c r="L39" s="40"/>
      <c r="M39" s="41"/>
      <c r="N39" s="40"/>
      <c r="O39" s="41"/>
      <c r="P39" s="40"/>
      <c r="Q39" s="41"/>
    </row>
    <row r="40" spans="1:17" ht="13.5" thickBot="1">
      <c r="A40" s="9"/>
      <c r="B40" s="38" t="s">
        <v>112</v>
      </c>
      <c r="C40" s="14">
        <f>SUM(C41:C52)</f>
        <v>0</v>
      </c>
      <c r="D40" s="39"/>
      <c r="E40" s="14">
        <f>SUM(E41:E52)</f>
        <v>0</v>
      </c>
      <c r="F40" s="39"/>
      <c r="G40" s="14">
        <f>SUM(G41:G52)</f>
        <v>0</v>
      </c>
      <c r="H40" s="39"/>
      <c r="I40" s="14">
        <f>SUM(I41:I52)</f>
        <v>0</v>
      </c>
      <c r="J40" s="39"/>
      <c r="K40" s="14">
        <f>SUM(K41:K52)</f>
        <v>0</v>
      </c>
      <c r="L40" s="15"/>
      <c r="M40" s="14">
        <f>SUM(M41:M52)</f>
        <v>0</v>
      </c>
      <c r="N40" s="15"/>
      <c r="O40" s="14">
        <f>SUM(O41:O52)</f>
        <v>0</v>
      </c>
      <c r="P40" s="15"/>
      <c r="Q40" s="14">
        <f>SUM(Q41:Q52)</f>
        <v>0</v>
      </c>
    </row>
    <row r="41" spans="1:17" ht="12.75">
      <c r="A41" s="9"/>
      <c r="B41" s="9" t="s">
        <v>96</v>
      </c>
      <c r="C41" s="16"/>
      <c r="D41" s="40"/>
      <c r="E41" s="16"/>
      <c r="F41" s="40"/>
      <c r="G41" s="16"/>
      <c r="H41" s="40"/>
      <c r="I41" s="16"/>
      <c r="J41" s="40"/>
      <c r="K41" s="16"/>
      <c r="L41" s="40"/>
      <c r="M41" s="16"/>
      <c r="N41" s="9"/>
      <c r="O41" s="16"/>
      <c r="P41" s="40"/>
      <c r="Q41" s="16"/>
    </row>
    <row r="42" spans="1:17" ht="12.75">
      <c r="A42" s="9"/>
      <c r="B42" s="9" t="s">
        <v>135</v>
      </c>
      <c r="C42" s="16"/>
      <c r="D42" s="40"/>
      <c r="E42" s="16"/>
      <c r="F42" s="40"/>
      <c r="G42" s="16"/>
      <c r="H42" s="40"/>
      <c r="I42" s="16"/>
      <c r="J42" s="40"/>
      <c r="K42" s="16"/>
      <c r="L42" s="40"/>
      <c r="M42" s="16"/>
      <c r="N42" s="9"/>
      <c r="O42" s="16"/>
      <c r="P42" s="40"/>
      <c r="Q42" s="16"/>
    </row>
    <row r="43" spans="1:17" ht="12.75">
      <c r="A43" s="9"/>
      <c r="B43" s="9" t="s">
        <v>136</v>
      </c>
      <c r="C43" s="16"/>
      <c r="D43" s="40"/>
      <c r="E43" s="16"/>
      <c r="F43" s="40"/>
      <c r="G43" s="16"/>
      <c r="H43" s="40"/>
      <c r="I43" s="16"/>
      <c r="J43" s="40"/>
      <c r="K43" s="16"/>
      <c r="L43" s="40"/>
      <c r="M43" s="16"/>
      <c r="N43" s="9"/>
      <c r="O43" s="16"/>
      <c r="P43" s="40"/>
      <c r="Q43" s="16"/>
    </row>
    <row r="44" spans="1:17" ht="12.75">
      <c r="A44" s="9"/>
      <c r="B44" s="9" t="s">
        <v>137</v>
      </c>
      <c r="C44" s="16"/>
      <c r="D44" s="40"/>
      <c r="E44" s="16"/>
      <c r="F44" s="40"/>
      <c r="G44" s="16"/>
      <c r="H44" s="40"/>
      <c r="I44" s="16"/>
      <c r="J44" s="40"/>
      <c r="K44" s="16"/>
      <c r="L44" s="40"/>
      <c r="M44" s="16"/>
      <c r="N44" s="9"/>
      <c r="O44" s="16"/>
      <c r="P44" s="40"/>
      <c r="Q44" s="16"/>
    </row>
    <row r="45" spans="1:17" ht="12.75">
      <c r="A45" s="9"/>
      <c r="B45" s="9" t="s">
        <v>138</v>
      </c>
      <c r="C45" s="16"/>
      <c r="D45" s="40"/>
      <c r="E45" s="16"/>
      <c r="F45" s="40"/>
      <c r="G45" s="16"/>
      <c r="H45" s="40"/>
      <c r="I45" s="16"/>
      <c r="J45" s="40"/>
      <c r="K45" s="16"/>
      <c r="L45" s="40"/>
      <c r="M45" s="16"/>
      <c r="N45" s="9"/>
      <c r="O45" s="16"/>
      <c r="P45" s="40"/>
      <c r="Q45" s="16"/>
    </row>
    <row r="46" spans="1:17" ht="12.75">
      <c r="A46" s="9"/>
      <c r="B46" s="9" t="s">
        <v>139</v>
      </c>
      <c r="C46" s="16"/>
      <c r="D46" s="40"/>
      <c r="E46" s="16"/>
      <c r="F46" s="40"/>
      <c r="G46" s="16"/>
      <c r="H46" s="40"/>
      <c r="I46" s="16"/>
      <c r="J46" s="40"/>
      <c r="K46" s="16"/>
      <c r="L46" s="40"/>
      <c r="M46" s="16"/>
      <c r="N46" s="9"/>
      <c r="O46" s="16"/>
      <c r="P46" s="40"/>
      <c r="Q46" s="16"/>
    </row>
    <row r="47" spans="1:17" ht="12.75">
      <c r="A47" s="9"/>
      <c r="B47" s="9" t="s">
        <v>140</v>
      </c>
      <c r="C47" s="16"/>
      <c r="D47" s="40"/>
      <c r="E47" s="16"/>
      <c r="F47" s="40"/>
      <c r="G47" s="16"/>
      <c r="H47" s="40"/>
      <c r="I47" s="16"/>
      <c r="J47" s="40"/>
      <c r="K47" s="16"/>
      <c r="L47" s="40"/>
      <c r="M47" s="16"/>
      <c r="N47" s="9"/>
      <c r="O47" s="16"/>
      <c r="P47" s="40"/>
      <c r="Q47" s="16"/>
    </row>
    <row r="48" spans="1:17" ht="12.75">
      <c r="A48" s="9"/>
      <c r="B48" s="9" t="s">
        <v>141</v>
      </c>
      <c r="C48" s="16"/>
      <c r="D48" s="40"/>
      <c r="E48" s="16"/>
      <c r="F48" s="40"/>
      <c r="G48" s="16"/>
      <c r="H48" s="40"/>
      <c r="I48" s="16"/>
      <c r="J48" s="40"/>
      <c r="K48" s="16"/>
      <c r="L48" s="40"/>
      <c r="M48" s="16"/>
      <c r="N48" s="9"/>
      <c r="O48" s="16"/>
      <c r="P48" s="40"/>
      <c r="Q48" s="16"/>
    </row>
    <row r="49" spans="1:17" ht="12.75">
      <c r="A49" s="9"/>
      <c r="B49" s="9" t="s">
        <v>142</v>
      </c>
      <c r="C49" s="16"/>
      <c r="D49" s="40"/>
      <c r="E49" s="16"/>
      <c r="F49" s="40"/>
      <c r="G49" s="16"/>
      <c r="H49" s="40"/>
      <c r="I49" s="16"/>
      <c r="J49" s="40"/>
      <c r="K49" s="16"/>
      <c r="L49" s="40"/>
      <c r="M49" s="16"/>
      <c r="N49" s="9"/>
      <c r="O49" s="16"/>
      <c r="P49" s="40"/>
      <c r="Q49" s="16"/>
    </row>
    <row r="50" spans="1:17" ht="12.75">
      <c r="A50" s="9"/>
      <c r="B50" s="9" t="s">
        <v>143</v>
      </c>
      <c r="C50" s="16"/>
      <c r="D50" s="40"/>
      <c r="E50" s="16"/>
      <c r="F50" s="40"/>
      <c r="G50" s="16"/>
      <c r="H50" s="40"/>
      <c r="I50" s="16"/>
      <c r="J50" s="40"/>
      <c r="K50" s="16"/>
      <c r="L50" s="40"/>
      <c r="M50" s="16"/>
      <c r="N50" s="9"/>
      <c r="O50" s="16"/>
      <c r="P50" s="40"/>
      <c r="Q50" s="16"/>
    </row>
    <row r="51" spans="1:17" ht="12.75">
      <c r="A51" s="9"/>
      <c r="B51" s="9" t="s">
        <v>144</v>
      </c>
      <c r="C51" s="16"/>
      <c r="D51" s="40"/>
      <c r="E51" s="16"/>
      <c r="F51" s="40"/>
      <c r="G51" s="16"/>
      <c r="H51" s="40"/>
      <c r="I51" s="16"/>
      <c r="J51" s="40"/>
      <c r="K51" s="16"/>
      <c r="L51" s="40"/>
      <c r="M51" s="16"/>
      <c r="N51" s="9"/>
      <c r="O51" s="16"/>
      <c r="P51" s="40"/>
      <c r="Q51" s="16"/>
    </row>
    <row r="52" spans="1:17" ht="12.75">
      <c r="A52" s="9"/>
      <c r="B52" s="9" t="s">
        <v>103</v>
      </c>
      <c r="C52" s="16"/>
      <c r="D52" s="40"/>
      <c r="E52" s="16"/>
      <c r="F52" s="40"/>
      <c r="G52" s="16"/>
      <c r="H52" s="40"/>
      <c r="I52" s="16"/>
      <c r="J52" s="40"/>
      <c r="K52" s="16"/>
      <c r="L52" s="40"/>
      <c r="M52" s="16"/>
      <c r="N52" s="9"/>
      <c r="O52" s="16"/>
      <c r="P52" s="40"/>
      <c r="Q52" s="16"/>
    </row>
    <row r="53" spans="1:17" ht="12.75">
      <c r="A53" s="9"/>
      <c r="B53" s="9"/>
      <c r="C53" s="17"/>
      <c r="D53" s="9"/>
      <c r="E53" s="17"/>
      <c r="F53" s="9"/>
      <c r="G53" s="17"/>
      <c r="H53" s="9"/>
      <c r="I53" s="17"/>
      <c r="J53" s="9"/>
      <c r="K53" s="17"/>
      <c r="L53" s="9"/>
      <c r="M53" s="17"/>
      <c r="N53" s="9"/>
      <c r="O53" s="17"/>
      <c r="P53" s="9"/>
      <c r="Q53" s="17"/>
    </row>
    <row r="54" spans="1:17" ht="12.75">
      <c r="A54" s="9" t="s">
        <v>19</v>
      </c>
      <c r="B54" s="38" t="s">
        <v>20</v>
      </c>
      <c r="C54" s="17"/>
      <c r="D54" s="9"/>
      <c r="E54" s="17"/>
      <c r="F54" s="9"/>
      <c r="G54" s="17"/>
      <c r="H54" s="9"/>
      <c r="I54" s="17"/>
      <c r="J54" s="9"/>
      <c r="K54" s="17"/>
      <c r="L54" s="9"/>
      <c r="M54" s="17"/>
      <c r="N54" s="9"/>
      <c r="O54" s="17"/>
      <c r="P54" s="9"/>
      <c r="Q54" s="17"/>
    </row>
    <row r="55" spans="1:17" ht="13.5" thickBot="1">
      <c r="A55" s="9"/>
      <c r="B55" s="38" t="s">
        <v>113</v>
      </c>
      <c r="C55" s="14">
        <f>SUM(C56:C67)</f>
        <v>0</v>
      </c>
      <c r="D55" s="18"/>
      <c r="E55" s="14">
        <f t="shared" ref="E55:Q55" si="0">SUM(E56:E67)</f>
        <v>0</v>
      </c>
      <c r="F55" s="18"/>
      <c r="G55" s="14">
        <f t="shared" si="0"/>
        <v>0</v>
      </c>
      <c r="H55" s="18"/>
      <c r="I55" s="14">
        <f t="shared" si="0"/>
        <v>0</v>
      </c>
      <c r="J55" s="18"/>
      <c r="K55" s="14">
        <f t="shared" si="0"/>
        <v>0</v>
      </c>
      <c r="L55" s="18"/>
      <c r="M55" s="14">
        <f t="shared" si="0"/>
        <v>0</v>
      </c>
      <c r="N55" s="18"/>
      <c r="O55" s="14">
        <f t="shared" si="0"/>
        <v>0</v>
      </c>
      <c r="P55" s="18"/>
      <c r="Q55" s="14">
        <f t="shared" si="0"/>
        <v>0</v>
      </c>
    </row>
    <row r="56" spans="1:17" ht="12.75">
      <c r="A56" s="9"/>
      <c r="B56" s="9" t="s">
        <v>96</v>
      </c>
      <c r="C56" s="16"/>
      <c r="D56" s="40"/>
      <c r="E56" s="16"/>
      <c r="F56" s="40"/>
      <c r="G56" s="16"/>
      <c r="H56" s="40"/>
      <c r="I56" s="16"/>
      <c r="J56" s="40"/>
      <c r="K56" s="16"/>
      <c r="L56" s="40"/>
      <c r="M56" s="16"/>
      <c r="N56" s="9"/>
      <c r="O56" s="16"/>
      <c r="P56" s="40"/>
      <c r="Q56" s="16"/>
    </row>
    <row r="57" spans="1:17" ht="12.75">
      <c r="A57" s="9"/>
      <c r="B57" s="9" t="s">
        <v>135</v>
      </c>
      <c r="C57" s="16"/>
      <c r="D57" s="40"/>
      <c r="E57" s="16"/>
      <c r="F57" s="40"/>
      <c r="G57" s="16"/>
      <c r="H57" s="40"/>
      <c r="I57" s="16"/>
      <c r="J57" s="40"/>
      <c r="K57" s="16"/>
      <c r="L57" s="40"/>
      <c r="M57" s="16"/>
      <c r="N57" s="9"/>
      <c r="O57" s="16"/>
      <c r="P57" s="40"/>
      <c r="Q57" s="16"/>
    </row>
    <row r="58" spans="1:17" ht="12.75">
      <c r="A58" s="9"/>
      <c r="B58" s="9" t="s">
        <v>136</v>
      </c>
      <c r="C58" s="16"/>
      <c r="D58" s="40"/>
      <c r="E58" s="16"/>
      <c r="F58" s="40"/>
      <c r="G58" s="16"/>
      <c r="H58" s="40"/>
      <c r="I58" s="16"/>
      <c r="J58" s="40"/>
      <c r="K58" s="16"/>
      <c r="L58" s="40"/>
      <c r="M58" s="16"/>
      <c r="N58" s="9"/>
      <c r="O58" s="16"/>
      <c r="P58" s="40"/>
      <c r="Q58" s="16"/>
    </row>
    <row r="59" spans="1:17" ht="12.75">
      <c r="A59" s="9"/>
      <c r="B59" s="9" t="s">
        <v>137</v>
      </c>
      <c r="C59" s="16"/>
      <c r="D59" s="40"/>
      <c r="E59" s="16"/>
      <c r="F59" s="40"/>
      <c r="G59" s="16"/>
      <c r="H59" s="40"/>
      <c r="I59" s="16"/>
      <c r="J59" s="40"/>
      <c r="K59" s="16"/>
      <c r="L59" s="40"/>
      <c r="M59" s="16"/>
      <c r="N59" s="9"/>
      <c r="O59" s="16"/>
      <c r="P59" s="40"/>
      <c r="Q59" s="16"/>
    </row>
    <row r="60" spans="1:17" ht="12.75">
      <c r="A60" s="9"/>
      <c r="B60" s="9" t="s">
        <v>138</v>
      </c>
      <c r="C60" s="16"/>
      <c r="D60" s="40"/>
      <c r="E60" s="16"/>
      <c r="F60" s="40"/>
      <c r="G60" s="16"/>
      <c r="H60" s="40"/>
      <c r="I60" s="16"/>
      <c r="J60" s="40"/>
      <c r="K60" s="16"/>
      <c r="L60" s="40"/>
      <c r="M60" s="16"/>
      <c r="N60" s="9"/>
      <c r="O60" s="16"/>
      <c r="P60" s="40"/>
      <c r="Q60" s="16"/>
    </row>
    <row r="61" spans="1:17" ht="12.75">
      <c r="A61" s="9"/>
      <c r="B61" s="9" t="s">
        <v>139</v>
      </c>
      <c r="C61" s="16"/>
      <c r="D61" s="40"/>
      <c r="E61" s="16"/>
      <c r="F61" s="40"/>
      <c r="G61" s="16"/>
      <c r="H61" s="40"/>
      <c r="I61" s="16"/>
      <c r="J61" s="40"/>
      <c r="K61" s="16"/>
      <c r="L61" s="40"/>
      <c r="M61" s="16"/>
      <c r="N61" s="9"/>
      <c r="O61" s="16"/>
      <c r="P61" s="40"/>
      <c r="Q61" s="16"/>
    </row>
    <row r="62" spans="1:17" ht="12.75">
      <c r="A62" s="9"/>
      <c r="B62" s="9" t="s">
        <v>140</v>
      </c>
      <c r="C62" s="16"/>
      <c r="D62" s="40"/>
      <c r="E62" s="16"/>
      <c r="F62" s="40"/>
      <c r="G62" s="16"/>
      <c r="H62" s="40"/>
      <c r="I62" s="16"/>
      <c r="J62" s="40"/>
      <c r="K62" s="16"/>
      <c r="L62" s="40"/>
      <c r="M62" s="16"/>
      <c r="N62" s="9"/>
      <c r="O62" s="16"/>
      <c r="P62" s="40"/>
      <c r="Q62" s="16"/>
    </row>
    <row r="63" spans="1:17" ht="12.75">
      <c r="A63" s="9"/>
      <c r="B63" s="9" t="s">
        <v>141</v>
      </c>
      <c r="C63" s="16"/>
      <c r="D63" s="40"/>
      <c r="E63" s="16"/>
      <c r="F63" s="40"/>
      <c r="G63" s="16"/>
      <c r="H63" s="40"/>
      <c r="I63" s="16"/>
      <c r="J63" s="40"/>
      <c r="K63" s="16"/>
      <c r="L63" s="40"/>
      <c r="M63" s="16"/>
      <c r="N63" s="9"/>
      <c r="O63" s="16"/>
      <c r="P63" s="40"/>
      <c r="Q63" s="16"/>
    </row>
    <row r="64" spans="1:17" ht="12.75">
      <c r="A64" s="9"/>
      <c r="B64" s="9" t="s">
        <v>142</v>
      </c>
      <c r="C64" s="16"/>
      <c r="D64" s="40"/>
      <c r="E64" s="16"/>
      <c r="F64" s="40"/>
      <c r="G64" s="16"/>
      <c r="H64" s="40"/>
      <c r="I64" s="16"/>
      <c r="J64" s="40"/>
      <c r="K64" s="16"/>
      <c r="L64" s="40"/>
      <c r="M64" s="16"/>
      <c r="N64" s="9"/>
      <c r="O64" s="16"/>
      <c r="P64" s="40"/>
      <c r="Q64" s="16"/>
    </row>
    <row r="65" spans="1:17" ht="12.75">
      <c r="A65" s="9"/>
      <c r="B65" s="9" t="s">
        <v>143</v>
      </c>
      <c r="C65" s="16"/>
      <c r="D65" s="40"/>
      <c r="E65" s="16"/>
      <c r="F65" s="40"/>
      <c r="G65" s="16"/>
      <c r="H65" s="40"/>
      <c r="I65" s="16"/>
      <c r="J65" s="40"/>
      <c r="K65" s="16"/>
      <c r="L65" s="40"/>
      <c r="M65" s="16"/>
      <c r="N65" s="9"/>
      <c r="O65" s="16"/>
      <c r="P65" s="40"/>
      <c r="Q65" s="16"/>
    </row>
    <row r="66" spans="1:17" ht="12.75">
      <c r="A66" s="9"/>
      <c r="B66" s="9" t="s">
        <v>144</v>
      </c>
      <c r="C66" s="16"/>
      <c r="D66" s="40"/>
      <c r="E66" s="16"/>
      <c r="F66" s="40"/>
      <c r="G66" s="16"/>
      <c r="H66" s="40"/>
      <c r="I66" s="16"/>
      <c r="J66" s="40"/>
      <c r="K66" s="16"/>
      <c r="L66" s="40"/>
      <c r="M66" s="16"/>
      <c r="N66" s="9"/>
      <c r="O66" s="16"/>
      <c r="P66" s="40"/>
      <c r="Q66" s="16"/>
    </row>
    <row r="67" spans="1:17" ht="12.75">
      <c r="A67" s="9"/>
      <c r="B67" s="9" t="s">
        <v>103</v>
      </c>
      <c r="C67" s="16"/>
      <c r="D67" s="40"/>
      <c r="E67" s="16"/>
      <c r="F67" s="40"/>
      <c r="G67" s="16"/>
      <c r="H67" s="40"/>
      <c r="I67" s="16"/>
      <c r="J67" s="40"/>
      <c r="K67" s="16"/>
      <c r="L67" s="40"/>
      <c r="M67" s="16"/>
      <c r="N67" s="9"/>
      <c r="O67" s="16"/>
      <c r="P67" s="40"/>
      <c r="Q67" s="16"/>
    </row>
    <row r="68" spans="1:17" ht="12.75">
      <c r="A68" s="9"/>
      <c r="B68" s="9"/>
      <c r="C68" s="17"/>
      <c r="D68" s="40"/>
      <c r="E68" s="17"/>
      <c r="F68" s="40"/>
      <c r="G68" s="17"/>
      <c r="H68" s="40"/>
      <c r="I68" s="17"/>
      <c r="J68" s="40"/>
      <c r="K68" s="17"/>
      <c r="L68" s="40"/>
      <c r="M68" s="17"/>
      <c r="N68" s="40"/>
      <c r="O68" s="17"/>
      <c r="P68" s="40"/>
      <c r="Q68" s="17"/>
    </row>
    <row r="69" spans="1:17" ht="12.75">
      <c r="A69" s="9" t="s">
        <v>21</v>
      </c>
      <c r="B69" s="38" t="s">
        <v>22</v>
      </c>
      <c r="C69" s="17"/>
      <c r="D69" s="40"/>
      <c r="E69" s="17"/>
      <c r="F69" s="40"/>
      <c r="G69" s="17"/>
      <c r="H69" s="40"/>
      <c r="I69" s="17"/>
      <c r="J69" s="40"/>
      <c r="K69" s="17"/>
      <c r="L69" s="40"/>
      <c r="M69" s="17"/>
      <c r="N69" s="40"/>
      <c r="O69" s="17"/>
      <c r="P69" s="40"/>
      <c r="Q69" s="17"/>
    </row>
    <row r="70" spans="1:17" ht="13.5" thickBot="1">
      <c r="A70" s="9"/>
      <c r="B70" s="38" t="s">
        <v>113</v>
      </c>
      <c r="C70" s="14">
        <f>SUM(C71:C82)</f>
        <v>0</v>
      </c>
      <c r="D70" s="18"/>
      <c r="E70" s="14">
        <f>SUM(E71:E82)</f>
        <v>0</v>
      </c>
      <c r="F70" s="18"/>
      <c r="G70" s="14">
        <f>SUM(G71:G82)</f>
        <v>0</v>
      </c>
      <c r="H70" s="18"/>
      <c r="I70" s="14">
        <f>SUM(I71:I82)</f>
        <v>0</v>
      </c>
      <c r="J70" s="18"/>
      <c r="K70" s="14">
        <f>SUM(K71:K82)</f>
        <v>0</v>
      </c>
      <c r="L70" s="18"/>
      <c r="M70" s="14">
        <f>SUM(M71:M82)</f>
        <v>0</v>
      </c>
      <c r="N70" s="18"/>
      <c r="O70" s="14">
        <f>SUM(O71:O82)</f>
        <v>0</v>
      </c>
      <c r="P70" s="18"/>
      <c r="Q70" s="14">
        <f>SUM(Q71:Q82)</f>
        <v>0</v>
      </c>
    </row>
    <row r="71" spans="1:17" ht="12.75">
      <c r="A71" s="9"/>
      <c r="B71" s="9" t="s">
        <v>96</v>
      </c>
      <c r="C71" s="16"/>
      <c r="D71" s="40"/>
      <c r="E71" s="16"/>
      <c r="F71" s="40"/>
      <c r="G71" s="16"/>
      <c r="H71" s="40"/>
      <c r="I71" s="16"/>
      <c r="J71" s="40"/>
      <c r="K71" s="16"/>
      <c r="L71" s="40"/>
      <c r="M71" s="16"/>
      <c r="N71" s="9"/>
      <c r="O71" s="16"/>
      <c r="P71" s="40"/>
      <c r="Q71" s="16"/>
    </row>
    <row r="72" spans="1:17" ht="12.75">
      <c r="A72" s="9"/>
      <c r="B72" s="9" t="s">
        <v>135</v>
      </c>
      <c r="C72" s="16"/>
      <c r="D72" s="40"/>
      <c r="E72" s="16"/>
      <c r="F72" s="40"/>
      <c r="G72" s="16"/>
      <c r="H72" s="40"/>
      <c r="I72" s="16"/>
      <c r="J72" s="40"/>
      <c r="K72" s="16"/>
      <c r="L72" s="40"/>
      <c r="M72" s="16"/>
      <c r="N72" s="9"/>
      <c r="O72" s="16"/>
      <c r="P72" s="40"/>
      <c r="Q72" s="16"/>
    </row>
    <row r="73" spans="1:17" ht="12.75">
      <c r="A73" s="9"/>
      <c r="B73" s="9" t="s">
        <v>136</v>
      </c>
      <c r="C73" s="16"/>
      <c r="D73" s="40"/>
      <c r="E73" s="16"/>
      <c r="F73" s="40"/>
      <c r="G73" s="16"/>
      <c r="H73" s="40"/>
      <c r="I73" s="16"/>
      <c r="J73" s="40"/>
      <c r="K73" s="16"/>
      <c r="L73" s="40"/>
      <c r="M73" s="16"/>
      <c r="N73" s="9"/>
      <c r="O73" s="16"/>
      <c r="P73" s="40"/>
      <c r="Q73" s="16"/>
    </row>
    <row r="74" spans="1:17" ht="12.75">
      <c r="A74" s="9"/>
      <c r="B74" s="9" t="s">
        <v>137</v>
      </c>
      <c r="C74" s="16"/>
      <c r="D74" s="40"/>
      <c r="E74" s="16"/>
      <c r="F74" s="40"/>
      <c r="G74" s="16"/>
      <c r="H74" s="40"/>
      <c r="I74" s="16"/>
      <c r="J74" s="40"/>
      <c r="K74" s="16"/>
      <c r="L74" s="40"/>
      <c r="M74" s="16"/>
      <c r="N74" s="9"/>
      <c r="O74" s="16"/>
      <c r="P74" s="40"/>
      <c r="Q74" s="16"/>
    </row>
    <row r="75" spans="1:17" ht="12.75">
      <c r="A75" s="9"/>
      <c r="B75" s="9" t="s">
        <v>138</v>
      </c>
      <c r="C75" s="16"/>
      <c r="D75" s="40"/>
      <c r="E75" s="16"/>
      <c r="F75" s="40"/>
      <c r="G75" s="16"/>
      <c r="H75" s="40"/>
      <c r="I75" s="16"/>
      <c r="J75" s="40"/>
      <c r="K75" s="16"/>
      <c r="L75" s="40"/>
      <c r="M75" s="16"/>
      <c r="N75" s="9"/>
      <c r="O75" s="16"/>
      <c r="P75" s="40"/>
      <c r="Q75" s="16"/>
    </row>
    <row r="76" spans="1:17" ht="12.75">
      <c r="A76" s="9"/>
      <c r="B76" s="9" t="s">
        <v>139</v>
      </c>
      <c r="C76" s="16"/>
      <c r="D76" s="40"/>
      <c r="E76" s="16"/>
      <c r="F76" s="40"/>
      <c r="G76" s="16"/>
      <c r="H76" s="40"/>
      <c r="I76" s="16"/>
      <c r="J76" s="40"/>
      <c r="K76" s="16"/>
      <c r="L76" s="40"/>
      <c r="M76" s="16"/>
      <c r="N76" s="9"/>
      <c r="O76" s="16"/>
      <c r="P76" s="40"/>
      <c r="Q76" s="16"/>
    </row>
    <row r="77" spans="1:17" ht="12.75">
      <c r="A77" s="9"/>
      <c r="B77" s="9" t="s">
        <v>140</v>
      </c>
      <c r="C77" s="16"/>
      <c r="D77" s="40"/>
      <c r="E77" s="16"/>
      <c r="F77" s="40"/>
      <c r="G77" s="16"/>
      <c r="H77" s="40"/>
      <c r="I77" s="16"/>
      <c r="J77" s="40"/>
      <c r="K77" s="16"/>
      <c r="L77" s="40"/>
      <c r="M77" s="16"/>
      <c r="N77" s="9"/>
      <c r="O77" s="16"/>
      <c r="P77" s="40"/>
      <c r="Q77" s="16"/>
    </row>
    <row r="78" spans="1:17" ht="12.75">
      <c r="A78" s="9"/>
      <c r="B78" s="9" t="s">
        <v>141</v>
      </c>
      <c r="C78" s="16"/>
      <c r="D78" s="40"/>
      <c r="E78" s="16"/>
      <c r="F78" s="40"/>
      <c r="G78" s="16"/>
      <c r="H78" s="40"/>
      <c r="I78" s="16"/>
      <c r="J78" s="40"/>
      <c r="K78" s="16"/>
      <c r="L78" s="40"/>
      <c r="M78" s="16"/>
      <c r="N78" s="9"/>
      <c r="O78" s="16"/>
      <c r="P78" s="40"/>
      <c r="Q78" s="16"/>
    </row>
    <row r="79" spans="1:17" ht="12.75">
      <c r="A79" s="9"/>
      <c r="B79" s="9" t="s">
        <v>142</v>
      </c>
      <c r="C79" s="16"/>
      <c r="D79" s="40"/>
      <c r="E79" s="16"/>
      <c r="F79" s="40"/>
      <c r="G79" s="16"/>
      <c r="H79" s="40"/>
      <c r="I79" s="16"/>
      <c r="J79" s="40"/>
      <c r="K79" s="16"/>
      <c r="L79" s="40"/>
      <c r="M79" s="16"/>
      <c r="N79" s="9"/>
      <c r="O79" s="16"/>
      <c r="P79" s="40"/>
      <c r="Q79" s="16"/>
    </row>
    <row r="80" spans="1:17" ht="12.75">
      <c r="A80" s="9"/>
      <c r="B80" s="9" t="s">
        <v>143</v>
      </c>
      <c r="C80" s="16"/>
      <c r="D80" s="40"/>
      <c r="E80" s="16"/>
      <c r="F80" s="40"/>
      <c r="G80" s="16"/>
      <c r="H80" s="40"/>
      <c r="I80" s="16"/>
      <c r="J80" s="40"/>
      <c r="K80" s="16"/>
      <c r="L80" s="40"/>
      <c r="M80" s="16"/>
      <c r="N80" s="9"/>
      <c r="O80" s="16"/>
      <c r="P80" s="40"/>
      <c r="Q80" s="16"/>
    </row>
    <row r="81" spans="1:17" ht="12.75">
      <c r="A81" s="9"/>
      <c r="B81" s="9" t="s">
        <v>144</v>
      </c>
      <c r="C81" s="16"/>
      <c r="D81" s="40"/>
      <c r="E81" s="16"/>
      <c r="F81" s="40"/>
      <c r="G81" s="16"/>
      <c r="H81" s="40"/>
      <c r="I81" s="16"/>
      <c r="J81" s="40"/>
      <c r="K81" s="16"/>
      <c r="L81" s="40"/>
      <c r="M81" s="16"/>
      <c r="N81" s="9"/>
      <c r="O81" s="16"/>
      <c r="P81" s="40"/>
      <c r="Q81" s="16"/>
    </row>
    <row r="82" spans="1:17" ht="12.75">
      <c r="A82" s="9"/>
      <c r="B82" s="9" t="s">
        <v>103</v>
      </c>
      <c r="C82" s="16"/>
      <c r="D82" s="40"/>
      <c r="E82" s="16"/>
      <c r="F82" s="40"/>
      <c r="G82" s="16"/>
      <c r="H82" s="40"/>
      <c r="I82" s="16"/>
      <c r="J82" s="40"/>
      <c r="K82" s="16"/>
      <c r="L82" s="40"/>
      <c r="M82" s="16"/>
      <c r="N82" s="9"/>
      <c r="O82" s="16"/>
      <c r="P82" s="40"/>
      <c r="Q82" s="16"/>
    </row>
    <row r="83" spans="1:17" ht="12.75">
      <c r="A83" s="9"/>
      <c r="B83" s="9"/>
      <c r="C83" s="17"/>
      <c r="D83" s="19"/>
      <c r="E83" s="17"/>
      <c r="F83" s="19"/>
      <c r="G83" s="17"/>
      <c r="H83" s="19"/>
      <c r="I83" s="17"/>
      <c r="J83" s="19"/>
      <c r="K83" s="17"/>
      <c r="L83" s="19"/>
      <c r="M83" s="17"/>
      <c r="N83" s="19"/>
      <c r="O83" s="17"/>
      <c r="P83" s="19"/>
      <c r="Q83" s="17"/>
    </row>
    <row r="84" spans="1:17" ht="13.5" thickBot="1">
      <c r="A84" s="9" t="s">
        <v>23</v>
      </c>
      <c r="B84" s="38" t="s">
        <v>24</v>
      </c>
      <c r="C84" s="14">
        <f>SUM(C85:C96)</f>
        <v>0</v>
      </c>
      <c r="D84" s="18"/>
      <c r="E84" s="14">
        <f>SUM(E85:E96)</f>
        <v>0</v>
      </c>
      <c r="F84" s="18"/>
      <c r="G84" s="14">
        <f>SUM(G85:G96)</f>
        <v>0</v>
      </c>
      <c r="H84" s="18"/>
      <c r="I84" s="14">
        <f>SUM(I85:I96)</f>
        <v>0</v>
      </c>
      <c r="J84" s="18"/>
      <c r="K84" s="14">
        <f>SUM(K85:K96)</f>
        <v>0</v>
      </c>
      <c r="L84" s="18"/>
      <c r="M84" s="14">
        <f>SUM(M85:M96)</f>
        <v>0</v>
      </c>
      <c r="N84" s="18"/>
      <c r="O84" s="14">
        <f>SUM(O85:O96)</f>
        <v>0</v>
      </c>
      <c r="P84" s="18"/>
      <c r="Q84" s="14">
        <f>SUM(Q85:Q96)</f>
        <v>0</v>
      </c>
    </row>
    <row r="85" spans="1:17" ht="12.75">
      <c r="A85" s="9"/>
      <c r="B85" s="9" t="s">
        <v>96</v>
      </c>
      <c r="C85" s="16"/>
      <c r="D85" s="40"/>
      <c r="E85" s="16"/>
      <c r="F85" s="40"/>
      <c r="G85" s="16"/>
      <c r="H85" s="40"/>
      <c r="I85" s="16"/>
      <c r="J85" s="40"/>
      <c r="K85" s="16"/>
      <c r="L85" s="40"/>
      <c r="M85" s="16"/>
      <c r="N85" s="9"/>
      <c r="O85" s="16"/>
      <c r="P85" s="40"/>
      <c r="Q85" s="16"/>
    </row>
    <row r="86" spans="1:17" ht="12.75">
      <c r="A86" s="9"/>
      <c r="B86" s="9" t="s">
        <v>135</v>
      </c>
      <c r="C86" s="16"/>
      <c r="D86" s="40"/>
      <c r="E86" s="16"/>
      <c r="F86" s="40"/>
      <c r="G86" s="16"/>
      <c r="H86" s="40"/>
      <c r="I86" s="16"/>
      <c r="J86" s="40"/>
      <c r="K86" s="16"/>
      <c r="L86" s="40"/>
      <c r="M86" s="16"/>
      <c r="N86" s="9"/>
      <c r="O86" s="16"/>
      <c r="P86" s="40"/>
      <c r="Q86" s="16"/>
    </row>
    <row r="87" spans="1:17" ht="12.75">
      <c r="A87" s="9"/>
      <c r="B87" s="9" t="s">
        <v>136</v>
      </c>
      <c r="C87" s="16"/>
      <c r="D87" s="40"/>
      <c r="E87" s="16"/>
      <c r="F87" s="40"/>
      <c r="G87" s="16"/>
      <c r="H87" s="40"/>
      <c r="I87" s="16"/>
      <c r="J87" s="40"/>
      <c r="K87" s="16"/>
      <c r="L87" s="40"/>
      <c r="M87" s="16"/>
      <c r="N87" s="9"/>
      <c r="O87" s="16"/>
      <c r="P87" s="40"/>
      <c r="Q87" s="16"/>
    </row>
    <row r="88" spans="1:17" ht="12.75">
      <c r="A88" s="9"/>
      <c r="B88" s="9" t="s">
        <v>137</v>
      </c>
      <c r="C88" s="16"/>
      <c r="D88" s="40"/>
      <c r="E88" s="16"/>
      <c r="F88" s="40"/>
      <c r="G88" s="16"/>
      <c r="H88" s="40"/>
      <c r="I88" s="16"/>
      <c r="J88" s="40"/>
      <c r="K88" s="16"/>
      <c r="L88" s="40"/>
      <c r="M88" s="16"/>
      <c r="N88" s="9"/>
      <c r="O88" s="16"/>
      <c r="P88" s="40"/>
      <c r="Q88" s="16"/>
    </row>
    <row r="89" spans="1:17" ht="12.75">
      <c r="A89" s="9"/>
      <c r="B89" s="9" t="s">
        <v>138</v>
      </c>
      <c r="C89" s="16"/>
      <c r="D89" s="40"/>
      <c r="E89" s="16"/>
      <c r="F89" s="40"/>
      <c r="G89" s="16"/>
      <c r="H89" s="40"/>
      <c r="I89" s="16"/>
      <c r="J89" s="40"/>
      <c r="K89" s="16"/>
      <c r="L89" s="40"/>
      <c r="M89" s="16"/>
      <c r="N89" s="9"/>
      <c r="O89" s="16"/>
      <c r="P89" s="40"/>
      <c r="Q89" s="16"/>
    </row>
    <row r="90" spans="1:17" ht="12.75">
      <c r="A90" s="9"/>
      <c r="B90" s="9" t="s">
        <v>139</v>
      </c>
      <c r="C90" s="16"/>
      <c r="D90" s="40"/>
      <c r="E90" s="16"/>
      <c r="F90" s="40"/>
      <c r="G90" s="16"/>
      <c r="H90" s="40"/>
      <c r="I90" s="16"/>
      <c r="J90" s="40"/>
      <c r="K90" s="16"/>
      <c r="L90" s="40"/>
      <c r="M90" s="16"/>
      <c r="N90" s="9"/>
      <c r="O90" s="16"/>
      <c r="P90" s="40"/>
      <c r="Q90" s="16"/>
    </row>
    <row r="91" spans="1:17" ht="12.75">
      <c r="A91" s="9"/>
      <c r="B91" s="9" t="s">
        <v>140</v>
      </c>
      <c r="C91" s="16"/>
      <c r="D91" s="40"/>
      <c r="E91" s="16"/>
      <c r="F91" s="40"/>
      <c r="G91" s="16"/>
      <c r="H91" s="40"/>
      <c r="I91" s="16"/>
      <c r="J91" s="40"/>
      <c r="K91" s="16"/>
      <c r="L91" s="40"/>
      <c r="M91" s="16"/>
      <c r="N91" s="9"/>
      <c r="O91" s="16"/>
      <c r="P91" s="40"/>
      <c r="Q91" s="16"/>
    </row>
    <row r="92" spans="1:17" ht="12.75">
      <c r="A92" s="9"/>
      <c r="B92" s="9" t="s">
        <v>141</v>
      </c>
      <c r="C92" s="16"/>
      <c r="D92" s="40"/>
      <c r="E92" s="16"/>
      <c r="F92" s="40"/>
      <c r="G92" s="16"/>
      <c r="H92" s="40"/>
      <c r="I92" s="16"/>
      <c r="J92" s="40"/>
      <c r="K92" s="16"/>
      <c r="L92" s="40"/>
      <c r="M92" s="16"/>
      <c r="N92" s="9"/>
      <c r="O92" s="16"/>
      <c r="P92" s="40"/>
      <c r="Q92" s="16"/>
    </row>
    <row r="93" spans="1:17" ht="12.75">
      <c r="A93" s="9"/>
      <c r="B93" s="9" t="s">
        <v>142</v>
      </c>
      <c r="C93" s="16"/>
      <c r="D93" s="40"/>
      <c r="E93" s="16"/>
      <c r="F93" s="40"/>
      <c r="G93" s="16"/>
      <c r="H93" s="40"/>
      <c r="I93" s="16"/>
      <c r="J93" s="40"/>
      <c r="K93" s="16"/>
      <c r="L93" s="40"/>
      <c r="M93" s="16"/>
      <c r="N93" s="9"/>
      <c r="O93" s="16"/>
      <c r="P93" s="40"/>
      <c r="Q93" s="16"/>
    </row>
    <row r="94" spans="1:17" ht="12.75">
      <c r="A94" s="9"/>
      <c r="B94" s="9" t="s">
        <v>143</v>
      </c>
      <c r="C94" s="16"/>
      <c r="D94" s="40"/>
      <c r="E94" s="16"/>
      <c r="F94" s="40"/>
      <c r="G94" s="16"/>
      <c r="H94" s="40"/>
      <c r="I94" s="16"/>
      <c r="J94" s="40"/>
      <c r="K94" s="16"/>
      <c r="L94" s="40"/>
      <c r="M94" s="16"/>
      <c r="N94" s="9"/>
      <c r="O94" s="16"/>
      <c r="P94" s="40"/>
      <c r="Q94" s="16"/>
    </row>
    <row r="95" spans="1:17" ht="12.75">
      <c r="A95" s="9"/>
      <c r="B95" s="9" t="s">
        <v>144</v>
      </c>
      <c r="C95" s="16"/>
      <c r="D95" s="40"/>
      <c r="E95" s="16"/>
      <c r="F95" s="40"/>
      <c r="G95" s="16"/>
      <c r="H95" s="40"/>
      <c r="I95" s="16"/>
      <c r="J95" s="40"/>
      <c r="K95" s="16"/>
      <c r="L95" s="40"/>
      <c r="M95" s="16"/>
      <c r="N95" s="9"/>
      <c r="O95" s="16"/>
      <c r="P95" s="40"/>
      <c r="Q95" s="16"/>
    </row>
    <row r="96" spans="1:17" ht="12.75">
      <c r="A96" s="9"/>
      <c r="B96" s="9" t="s">
        <v>103</v>
      </c>
      <c r="C96" s="16"/>
      <c r="D96" s="40"/>
      <c r="E96" s="16"/>
      <c r="F96" s="40"/>
      <c r="G96" s="16"/>
      <c r="H96" s="40"/>
      <c r="I96" s="16"/>
      <c r="J96" s="40"/>
      <c r="K96" s="16"/>
      <c r="L96" s="40"/>
      <c r="M96" s="16"/>
      <c r="N96" s="9"/>
      <c r="O96" s="16"/>
      <c r="P96" s="40"/>
      <c r="Q96" s="16"/>
    </row>
    <row r="97" spans="1:24" ht="12.75">
      <c r="A97" s="9"/>
      <c r="B97" s="9"/>
      <c r="C97" s="17"/>
      <c r="D97" s="19"/>
      <c r="E97" s="17"/>
      <c r="F97" s="19"/>
      <c r="G97" s="17"/>
      <c r="H97" s="19"/>
      <c r="I97" s="17"/>
      <c r="J97" s="19"/>
      <c r="K97" s="17"/>
      <c r="L97" s="19"/>
      <c r="M97" s="17"/>
      <c r="N97" s="19"/>
      <c r="O97" s="17"/>
      <c r="P97" s="19"/>
      <c r="Q97" s="17"/>
    </row>
    <row r="98" spans="1:24" ht="12.75">
      <c r="A98" s="9"/>
      <c r="B98" s="34" t="s">
        <v>26</v>
      </c>
      <c r="C98" s="20">
        <f>SUM(C25,C40,C55,C70,C84)</f>
        <v>0</v>
      </c>
      <c r="D98" s="18"/>
      <c r="E98" s="20">
        <f t="shared" ref="E98:Q98" si="1">SUM(E25,E40,E55,E70,E84)</f>
        <v>0</v>
      </c>
      <c r="F98" s="18"/>
      <c r="G98" s="20">
        <f t="shared" si="1"/>
        <v>0</v>
      </c>
      <c r="H98" s="18"/>
      <c r="I98" s="20">
        <f t="shared" si="1"/>
        <v>0</v>
      </c>
      <c r="J98" s="18"/>
      <c r="K98" s="20">
        <f t="shared" si="1"/>
        <v>0</v>
      </c>
      <c r="L98" s="18"/>
      <c r="M98" s="20">
        <f t="shared" si="1"/>
        <v>0</v>
      </c>
      <c r="N98" s="18"/>
      <c r="O98" s="20">
        <f t="shared" si="1"/>
        <v>0</v>
      </c>
      <c r="P98" s="18"/>
      <c r="Q98" s="20">
        <f t="shared" si="1"/>
        <v>0</v>
      </c>
    </row>
    <row r="99" spans="1:24">
      <c r="D99" s="11"/>
      <c r="J99" s="11"/>
      <c r="L99" s="11"/>
      <c r="N99" s="11"/>
      <c r="P99" s="11"/>
      <c r="U99" s="7" t="s">
        <v>25</v>
      </c>
      <c r="V99" s="7" t="s">
        <v>25</v>
      </c>
      <c r="W99" s="7" t="s">
        <v>25</v>
      </c>
      <c r="X99" s="7" t="s">
        <v>25</v>
      </c>
    </row>
    <row r="100" spans="1:24">
      <c r="U100" s="7" t="s">
        <v>25</v>
      </c>
      <c r="V100" s="7" t="s">
        <v>25</v>
      </c>
      <c r="W100" s="7" t="s">
        <v>25</v>
      </c>
      <c r="X100" s="7" t="s">
        <v>25</v>
      </c>
    </row>
  </sheetData>
  <sheetProtection algorithmName="SHA-512" hashValue="cay5FGOFkqbBmzfHdcbjtMftdAoivP0LqWWQfJxq6LFd6xg5gQZIKm9LA6ZH2LCh2CjdezuZHBtYHPYR5ebTgQ==" saltValue="v123OasVz2rChGOUcJomsQ==" spinCount="100000" sheet="1" selectLockedCells="1"/>
  <customSheetViews>
    <customSheetView guid="{6BAB6937-F4A7-406E-B6D7-F3AB26E9CB76}" showPageBreaks="1" showGridLines="0" printArea="1" topLeftCell="A73">
      <selection activeCell="C73" sqref="C73"/>
      <rowBreaks count="1" manualBreakCount="1">
        <brk id="68" max="16" man="1"/>
      </rowBreaks>
      <pageMargins left="0" right="0" top="0.31" bottom="0.31" header="0.17" footer="0.2"/>
      <printOptions horizontalCentered="1"/>
      <pageSetup paperSize="5" scale="99" fitToHeight="2" orientation="portrait" r:id="rId1"/>
      <headerFooter alignWithMargins="0"/>
    </customSheetView>
    <customSheetView guid="{6FD7F56A-E857-4CED-A5A1-7DEC8753A8FB}" showGridLines="0" topLeftCell="A73">
      <selection activeCell="C73" sqref="C73"/>
      <rowBreaks count="1" manualBreakCount="1">
        <brk id="68" max="16" man="1"/>
      </rowBreaks>
      <pageMargins left="0" right="0" top="0.31" bottom="0.31" header="0.17" footer="0.2"/>
      <printOptions horizontalCentered="1"/>
      <pageSetup paperSize="5" scale="99" fitToHeight="2" orientation="portrait" r:id="rId2"/>
      <headerFooter alignWithMargins="0"/>
    </customSheetView>
    <customSheetView guid="{91D31259-BF8C-4449-A829-EAD5467CE226}" showGridLines="0" topLeftCell="A73">
      <selection activeCell="C73" sqref="C73"/>
      <rowBreaks count="1" manualBreakCount="1">
        <brk id="68" max="16" man="1"/>
      </rowBreaks>
      <pageMargins left="0" right="0" top="0.31" bottom="0.31" header="0.17" footer="0.2"/>
      <printOptions horizontalCentered="1"/>
      <pageSetup paperSize="5" scale="99" fitToHeight="2" orientation="portrait" r:id="rId3"/>
      <headerFooter alignWithMargins="0"/>
    </customSheetView>
  </customSheetViews>
  <mergeCells count="4">
    <mergeCell ref="C11:I11"/>
    <mergeCell ref="A4:Q4"/>
    <mergeCell ref="A6:Q6"/>
    <mergeCell ref="A8:Q8"/>
  </mergeCells>
  <dataValidations xWindow="708" yWindow="276" count="5">
    <dataValidation type="decimal" allowBlank="1" showInputMessage="1" showErrorMessage="1" errorTitle="Validation Error" error="Incorrect data type (numbers/decimal only)" sqref="I26:I37 M26:M37 G26:G37 E71:E82 Q26:Q37 K26:K37 O26:O37 C26:C37 I71:I82 M71:M82 G71:G82 Q71:Q82 K71:K82 O71:O82 C71:C82 C85:C96 E41:E52 I41:I52 M41:M52 G41:G52 Q41:Q52 K41:K52 O41:O52 C41:C52 E56:E67 I56:I67 M56:M67 G56:G67 Q56:Q67 K56:K67 O56:O67 C56:C67 E85:E96 I85:I96 M85:M96 G85:G96 Q85:Q96 K85:K96 O85:O96 E26:E37" xr:uid="{00000000-0002-0000-0500-000000000000}">
      <formula1>0</formula1>
      <formula2>9.99999999999999E+36</formula2>
    </dataValidation>
    <dataValidation allowBlank="1" showErrorMessage="1" prompt="MUST UPDATE MONTH" sqref="C14" xr:uid="{00000000-0002-0000-0500-000001000000}"/>
    <dataValidation allowBlank="1" showErrorMessage="1" prompt="MUST UPDATE YEAR" sqref="C16" xr:uid="{00000000-0002-0000-0500-000002000000}"/>
    <dataValidation allowBlank="1" errorTitle="Invalid Entry" error="Please select institution from drop down list" prompt="_x000a_" sqref="C11:I11" xr:uid="{00000000-0002-0000-0500-000003000000}"/>
    <dataValidation allowBlank="1" showInputMessage="1" showErrorMessage="1" errorTitle="Warning" error="Please select institution_x000a_" sqref="R12" xr:uid="{00000000-0002-0000-0500-000004000000}"/>
  </dataValidations>
  <printOptions horizontalCentered="1" gridLinesSet="0"/>
  <pageMargins left="0" right="0" top="0.31" bottom="0.31" header="0.17" footer="0.2"/>
  <pageSetup paperSize="5" scale="90" fitToHeight="2" orientation="portrait" r:id="rId4"/>
  <headerFooter alignWithMargins="0"/>
  <rowBreaks count="1" manualBreakCount="1">
    <brk id="68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2:U109"/>
  <sheetViews>
    <sheetView showGridLines="0" zoomScaleNormal="100" workbookViewId="0">
      <selection activeCell="N44" sqref="N44"/>
    </sheetView>
  </sheetViews>
  <sheetFormatPr defaultColWidth="8.85546875" defaultRowHeight="12.75"/>
  <cols>
    <col min="1" max="1" width="2" style="43" customWidth="1"/>
    <col min="2" max="2" width="16.85546875" style="43" customWidth="1"/>
    <col min="3" max="3" width="5.85546875" style="43" customWidth="1"/>
    <col min="4" max="4" width="1.85546875" style="43" customWidth="1"/>
    <col min="5" max="5" width="12.140625" style="43" customWidth="1"/>
    <col min="6" max="6" width="2.140625" style="43" customWidth="1"/>
    <col min="7" max="7" width="5.85546875" style="43" customWidth="1"/>
    <col min="8" max="8" width="1.85546875" style="43" customWidth="1"/>
    <col min="9" max="9" width="12.140625" style="43" customWidth="1"/>
    <col min="10" max="11" width="1.85546875" style="43" customWidth="1"/>
    <col min="12" max="12" width="5.85546875" style="44" customWidth="1"/>
    <col min="13" max="13" width="1.85546875" style="43" customWidth="1"/>
    <col min="14" max="14" width="13.42578125" style="44" customWidth="1"/>
    <col min="15" max="16384" width="8.85546875" style="43"/>
  </cols>
  <sheetData>
    <row r="2" spans="1:14">
      <c r="A2" s="46"/>
      <c r="B2" s="47"/>
      <c r="C2" s="47"/>
      <c r="D2" s="47"/>
      <c r="E2" s="47"/>
      <c r="F2" s="47"/>
      <c r="G2" s="47"/>
      <c r="H2" s="47"/>
      <c r="I2" s="48"/>
      <c r="J2" s="48"/>
      <c r="K2" s="47"/>
      <c r="M2" s="47"/>
      <c r="N2" s="49" t="s">
        <v>195</v>
      </c>
    </row>
    <row r="3" spans="1:14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M3" s="47"/>
    </row>
    <row r="4" spans="1:14" ht="15.75">
      <c r="A4" s="87" t="s">
        <v>0</v>
      </c>
      <c r="B4" s="60"/>
      <c r="C4" s="60"/>
      <c r="D4" s="60"/>
      <c r="E4" s="60"/>
      <c r="F4" s="60"/>
      <c r="G4" s="60"/>
      <c r="H4" s="60"/>
      <c r="I4" s="60"/>
      <c r="J4" s="47"/>
      <c r="K4" s="47"/>
      <c r="M4" s="47"/>
    </row>
    <row r="5" spans="1:14" ht="15.75">
      <c r="A5" s="88"/>
      <c r="B5" s="60"/>
      <c r="C5" s="60"/>
      <c r="D5" s="60"/>
      <c r="E5" s="60"/>
      <c r="F5" s="60"/>
      <c r="G5" s="60"/>
      <c r="H5" s="60"/>
      <c r="I5" s="60"/>
      <c r="J5" s="47"/>
      <c r="K5" s="47"/>
      <c r="M5" s="47"/>
    </row>
    <row r="6" spans="1:14" ht="15.75">
      <c r="A6" s="87" t="s">
        <v>133</v>
      </c>
      <c r="B6" s="60"/>
      <c r="C6" s="60"/>
      <c r="D6" s="60"/>
      <c r="E6" s="60"/>
      <c r="F6" s="60"/>
      <c r="G6" s="60"/>
      <c r="H6" s="60"/>
      <c r="I6" s="60"/>
      <c r="J6" s="47"/>
      <c r="K6" s="47"/>
      <c r="M6" s="47"/>
    </row>
    <row r="7" spans="1:14" ht="15.75">
      <c r="A7" s="88"/>
      <c r="B7" s="60"/>
      <c r="C7" s="60"/>
      <c r="D7" s="60"/>
      <c r="E7" s="60"/>
      <c r="F7" s="60"/>
      <c r="G7" s="60"/>
      <c r="H7" s="60"/>
      <c r="I7" s="60"/>
      <c r="J7" s="47"/>
      <c r="K7" s="47"/>
      <c r="M7" s="47"/>
    </row>
    <row r="8" spans="1:14" ht="15.75">
      <c r="A8" s="87" t="s">
        <v>145</v>
      </c>
      <c r="B8" s="60"/>
      <c r="C8" s="60"/>
      <c r="D8" s="60"/>
      <c r="E8" s="60"/>
      <c r="F8" s="60"/>
      <c r="G8" s="60"/>
      <c r="H8" s="60"/>
      <c r="I8" s="60"/>
      <c r="J8" s="47"/>
      <c r="K8" s="47"/>
      <c r="M8" s="47"/>
    </row>
    <row r="11" spans="1:14">
      <c r="B11" s="50"/>
      <c r="C11" s="51"/>
    </row>
    <row r="12" spans="1:14">
      <c r="C12" s="52" t="s">
        <v>3</v>
      </c>
      <c r="D12" s="52"/>
      <c r="E12" s="47"/>
      <c r="F12" s="47"/>
      <c r="G12" s="52" t="s">
        <v>98</v>
      </c>
      <c r="H12" s="52"/>
      <c r="I12" s="47"/>
      <c r="J12" s="47"/>
      <c r="K12" s="47"/>
      <c r="L12" s="53" t="s">
        <v>90</v>
      </c>
      <c r="M12" s="52"/>
    </row>
    <row r="13" spans="1:14">
      <c r="A13" s="45" t="s">
        <v>4</v>
      </c>
      <c r="B13" s="45" t="s">
        <v>5</v>
      </c>
      <c r="C13" s="52" t="s">
        <v>8</v>
      </c>
      <c r="D13" s="52"/>
      <c r="E13" s="47"/>
      <c r="F13" s="47"/>
      <c r="G13" s="52" t="s">
        <v>7</v>
      </c>
      <c r="H13" s="52"/>
      <c r="I13" s="47"/>
      <c r="J13" s="47"/>
      <c r="K13" s="47"/>
      <c r="L13" s="53" t="s">
        <v>8</v>
      </c>
      <c r="M13" s="52"/>
    </row>
    <row r="14" spans="1:14">
      <c r="C14" s="52" t="s">
        <v>82</v>
      </c>
      <c r="D14" s="52"/>
      <c r="E14" s="47"/>
      <c r="F14" s="47"/>
      <c r="G14" s="52" t="s">
        <v>10</v>
      </c>
      <c r="H14" s="52"/>
      <c r="I14" s="47"/>
      <c r="J14" s="47"/>
      <c r="K14" s="47"/>
      <c r="L14" s="53" t="s">
        <v>11</v>
      </c>
      <c r="M14" s="52"/>
    </row>
    <row r="16" spans="1:14">
      <c r="C16" s="48" t="s">
        <v>12</v>
      </c>
      <c r="D16" s="48"/>
      <c r="E16" s="44" t="s">
        <v>13</v>
      </c>
      <c r="F16" s="48"/>
      <c r="G16" s="48" t="s">
        <v>12</v>
      </c>
      <c r="H16" s="48"/>
      <c r="I16" s="44" t="s">
        <v>13</v>
      </c>
      <c r="J16" s="48"/>
      <c r="K16" s="48"/>
      <c r="L16" s="44" t="s">
        <v>12</v>
      </c>
      <c r="M16" s="48"/>
      <c r="N16" s="44" t="s">
        <v>13</v>
      </c>
    </row>
    <row r="17" spans="1:14">
      <c r="C17" s="48"/>
      <c r="D17" s="48"/>
      <c r="E17" s="54" t="s">
        <v>14</v>
      </c>
      <c r="F17" s="55"/>
      <c r="G17" s="48"/>
      <c r="H17" s="48"/>
      <c r="I17" s="54" t="s">
        <v>14</v>
      </c>
      <c r="J17" s="55"/>
      <c r="K17" s="55"/>
      <c r="M17" s="48"/>
      <c r="N17" s="54" t="s">
        <v>14</v>
      </c>
    </row>
    <row r="18" spans="1:14">
      <c r="C18" s="51"/>
      <c r="D18" s="51"/>
      <c r="E18" s="51"/>
      <c r="F18" s="51"/>
      <c r="G18" s="51"/>
      <c r="H18" s="51"/>
      <c r="I18" s="51"/>
      <c r="J18" s="51"/>
      <c r="K18" s="51"/>
      <c r="L18" s="56"/>
      <c r="M18" s="51"/>
      <c r="N18" s="56"/>
    </row>
    <row r="19" spans="1:14">
      <c r="A19" s="43" t="s">
        <v>15</v>
      </c>
      <c r="B19" s="57" t="s">
        <v>16</v>
      </c>
      <c r="C19" s="51"/>
      <c r="D19" s="51"/>
      <c r="E19" s="51"/>
      <c r="F19" s="51"/>
      <c r="G19" s="51"/>
      <c r="H19" s="51"/>
      <c r="I19" s="51"/>
      <c r="J19" s="51"/>
      <c r="K19" s="42"/>
      <c r="L19" s="56"/>
      <c r="M19" s="42"/>
      <c r="N19" s="56"/>
    </row>
    <row r="20" spans="1:14" ht="13.5" thickBot="1">
      <c r="B20" s="57"/>
      <c r="C20" s="14">
        <f>SUM(C21:C34)</f>
        <v>0</v>
      </c>
      <c r="D20"/>
      <c r="E20" s="14">
        <f t="shared" ref="E20:N20" si="0">SUM(E21:E34)</f>
        <v>0</v>
      </c>
      <c r="F20"/>
      <c r="G20" s="14">
        <f t="shared" si="0"/>
        <v>0</v>
      </c>
      <c r="H20"/>
      <c r="I20" s="14">
        <f t="shared" si="0"/>
        <v>0</v>
      </c>
      <c r="J20"/>
      <c r="K20" s="14"/>
      <c r="L20" s="14">
        <f t="shared" si="0"/>
        <v>0</v>
      </c>
      <c r="M20"/>
      <c r="N20" s="14">
        <f t="shared" si="0"/>
        <v>0</v>
      </c>
    </row>
    <row r="21" spans="1:14">
      <c r="B21" s="43" t="s">
        <v>104</v>
      </c>
      <c r="C21" s="58"/>
      <c r="D21" s="51"/>
      <c r="E21" s="58"/>
      <c r="F21" s="51"/>
      <c r="G21" s="58"/>
      <c r="H21" s="48"/>
      <c r="I21" s="58"/>
      <c r="J21" s="51"/>
      <c r="L21" s="58"/>
      <c r="M21" s="51"/>
      <c r="N21" s="58"/>
    </row>
    <row r="22" spans="1:14">
      <c r="B22" s="43" t="s">
        <v>120</v>
      </c>
      <c r="C22" s="58"/>
      <c r="D22" s="51"/>
      <c r="E22" s="58"/>
      <c r="F22" s="51"/>
      <c r="G22" s="58"/>
      <c r="H22" s="48"/>
      <c r="I22" s="58"/>
      <c r="J22" s="51"/>
      <c r="L22" s="58"/>
      <c r="M22" s="51"/>
      <c r="N22" s="58"/>
    </row>
    <row r="23" spans="1:14">
      <c r="B23" s="43" t="s">
        <v>121</v>
      </c>
      <c r="C23" s="58"/>
      <c r="D23" s="51"/>
      <c r="E23" s="58"/>
      <c r="F23" s="51"/>
      <c r="G23" s="58"/>
      <c r="H23" s="48"/>
      <c r="I23" s="58"/>
      <c r="J23" s="51"/>
      <c r="L23" s="58"/>
      <c r="M23" s="51"/>
      <c r="N23" s="58"/>
    </row>
    <row r="24" spans="1:14">
      <c r="B24" s="43" t="s">
        <v>122</v>
      </c>
      <c r="C24" s="58"/>
      <c r="D24" s="51"/>
      <c r="E24" s="58"/>
      <c r="F24" s="51"/>
      <c r="G24" s="58"/>
      <c r="H24" s="48"/>
      <c r="I24" s="58"/>
      <c r="J24" s="51"/>
      <c r="L24" s="58"/>
      <c r="M24" s="51"/>
      <c r="N24" s="58"/>
    </row>
    <row r="25" spans="1:14">
      <c r="B25" s="43" t="s">
        <v>123</v>
      </c>
      <c r="C25" s="58"/>
      <c r="D25" s="51"/>
      <c r="E25" s="58"/>
      <c r="F25" s="51"/>
      <c r="G25" s="58"/>
      <c r="H25" s="48"/>
      <c r="I25" s="58"/>
      <c r="J25" s="51"/>
      <c r="L25" s="58"/>
      <c r="M25" s="51"/>
      <c r="N25" s="58"/>
    </row>
    <row r="26" spans="1:14">
      <c r="B26" s="43" t="s">
        <v>124</v>
      </c>
      <c r="C26" s="58"/>
      <c r="D26" s="51"/>
      <c r="E26" s="58"/>
      <c r="F26" s="51"/>
      <c r="G26" s="58"/>
      <c r="H26" s="48"/>
      <c r="I26" s="58"/>
      <c r="J26" s="51"/>
      <c r="L26" s="58"/>
      <c r="M26" s="51"/>
      <c r="N26" s="58"/>
    </row>
    <row r="27" spans="1:14">
      <c r="B27" s="43" t="s">
        <v>125</v>
      </c>
      <c r="C27" s="58"/>
      <c r="D27" s="51"/>
      <c r="E27" s="58"/>
      <c r="F27" s="51"/>
      <c r="G27" s="58"/>
      <c r="H27" s="48"/>
      <c r="I27" s="58"/>
      <c r="J27" s="51"/>
      <c r="L27" s="58"/>
      <c r="M27" s="51"/>
      <c r="N27" s="58"/>
    </row>
    <row r="28" spans="1:14">
      <c r="B28" s="43" t="s">
        <v>126</v>
      </c>
      <c r="C28" s="58"/>
      <c r="D28" s="51"/>
      <c r="E28" s="58"/>
      <c r="F28" s="51"/>
      <c r="G28" s="58"/>
      <c r="H28" s="48"/>
      <c r="I28" s="58"/>
      <c r="J28" s="51"/>
      <c r="L28" s="58"/>
      <c r="M28" s="51"/>
      <c r="N28" s="58"/>
    </row>
    <row r="29" spans="1:14">
      <c r="B29" s="43" t="s">
        <v>127</v>
      </c>
      <c r="C29" s="58"/>
      <c r="D29" s="51"/>
      <c r="E29" s="58"/>
      <c r="F29" s="51"/>
      <c r="G29" s="58"/>
      <c r="H29" s="48"/>
      <c r="I29" s="58"/>
      <c r="J29" s="51"/>
      <c r="L29" s="58"/>
      <c r="M29" s="51"/>
      <c r="N29" s="58"/>
    </row>
    <row r="30" spans="1:14">
      <c r="B30" s="43" t="s">
        <v>128</v>
      </c>
      <c r="C30" s="58"/>
      <c r="D30" s="51"/>
      <c r="E30" s="58"/>
      <c r="F30" s="51"/>
      <c r="G30" s="58"/>
      <c r="H30" s="48"/>
      <c r="I30" s="58"/>
      <c r="J30" s="51"/>
      <c r="L30" s="58"/>
      <c r="M30" s="51"/>
      <c r="N30" s="58"/>
    </row>
    <row r="31" spans="1:14">
      <c r="B31" s="43" t="s">
        <v>129</v>
      </c>
      <c r="C31" s="58"/>
      <c r="D31" s="51"/>
      <c r="E31" s="58"/>
      <c r="F31" s="51"/>
      <c r="G31" s="58"/>
      <c r="H31" s="48"/>
      <c r="I31" s="58"/>
      <c r="J31" s="51"/>
      <c r="L31" s="58"/>
      <c r="M31" s="51"/>
      <c r="N31" s="58"/>
    </row>
    <row r="32" spans="1:14">
      <c r="B32" s="43" t="s">
        <v>130</v>
      </c>
      <c r="C32" s="58"/>
      <c r="D32" s="51"/>
      <c r="E32" s="58"/>
      <c r="F32" s="51"/>
      <c r="G32" s="58"/>
      <c r="H32" s="48"/>
      <c r="I32" s="58"/>
      <c r="J32" s="51"/>
      <c r="L32" s="58"/>
      <c r="M32" s="51"/>
      <c r="N32" s="58"/>
    </row>
    <row r="33" spans="1:14">
      <c r="B33" s="43" t="s">
        <v>131</v>
      </c>
      <c r="C33" s="58"/>
      <c r="D33" s="51"/>
      <c r="E33" s="58"/>
      <c r="F33" s="51"/>
      <c r="G33" s="58"/>
      <c r="H33" s="48"/>
      <c r="I33" s="58"/>
      <c r="J33" s="51"/>
      <c r="L33" s="58"/>
      <c r="M33" s="51"/>
      <c r="N33" s="58"/>
    </row>
    <row r="34" spans="1:14">
      <c r="B34" s="43" t="s">
        <v>52</v>
      </c>
      <c r="C34" s="58"/>
      <c r="D34" s="51"/>
      <c r="E34" s="58"/>
      <c r="F34" s="51"/>
      <c r="G34" s="58"/>
      <c r="H34" s="48"/>
      <c r="I34" s="58"/>
      <c r="J34" s="51"/>
      <c r="L34" s="58"/>
      <c r="M34" s="51"/>
      <c r="N34" s="58"/>
    </row>
    <row r="35" spans="1:14">
      <c r="C35" s="48"/>
      <c r="D35" s="48"/>
      <c r="E35" s="48"/>
      <c r="F35" s="48"/>
      <c r="G35" s="48"/>
      <c r="H35" s="48"/>
      <c r="I35" s="48"/>
      <c r="J35" s="48"/>
      <c r="K35" s="48"/>
      <c r="M35" s="48"/>
    </row>
    <row r="36" spans="1:14">
      <c r="A36" s="43" t="s">
        <v>17</v>
      </c>
      <c r="B36" s="57" t="s">
        <v>18</v>
      </c>
      <c r="C36" s="48"/>
      <c r="D36" s="48"/>
      <c r="E36" s="48"/>
      <c r="F36" s="48"/>
      <c r="G36" s="48"/>
      <c r="H36" s="48"/>
      <c r="I36" s="48"/>
      <c r="J36" s="48"/>
      <c r="K36" s="48"/>
      <c r="M36" s="48"/>
    </row>
    <row r="37" spans="1:14">
      <c r="B37" s="57" t="s">
        <v>112</v>
      </c>
      <c r="C37" s="51"/>
      <c r="D37" s="51"/>
      <c r="E37" s="51"/>
      <c r="F37" s="51"/>
      <c r="G37" s="51"/>
      <c r="H37" s="51"/>
      <c r="I37" s="51"/>
      <c r="J37" s="51"/>
      <c r="K37" s="42"/>
      <c r="L37" s="56"/>
      <c r="M37" s="42"/>
      <c r="N37" s="56"/>
    </row>
    <row r="38" spans="1:14" ht="13.5" thickBot="1">
      <c r="B38" s="57"/>
      <c r="C38" s="14">
        <f>SUM(C39:C52)</f>
        <v>0</v>
      </c>
      <c r="D38"/>
      <c r="E38" s="14">
        <f>SUM(E39:E52)</f>
        <v>0</v>
      </c>
      <c r="F38"/>
      <c r="G38" s="14">
        <f>SUM(G39:G52)</f>
        <v>0</v>
      </c>
      <c r="H38"/>
      <c r="I38" s="14">
        <f>SUM(I39:I52)</f>
        <v>0</v>
      </c>
      <c r="J38"/>
      <c r="K38" s="14"/>
      <c r="L38" s="14">
        <f>SUM(L39:L52)</f>
        <v>0</v>
      </c>
      <c r="M38"/>
      <c r="N38" s="14">
        <f>SUM(N39:N52)</f>
        <v>0</v>
      </c>
    </row>
    <row r="39" spans="1:14">
      <c r="B39" s="43" t="s">
        <v>104</v>
      </c>
      <c r="C39" s="58"/>
      <c r="D39" s="51"/>
      <c r="E39" s="58"/>
      <c r="F39" s="51"/>
      <c r="G39" s="58"/>
      <c r="H39" s="48"/>
      <c r="I39" s="58"/>
      <c r="J39" s="51"/>
      <c r="L39" s="58"/>
      <c r="M39" s="51"/>
      <c r="N39" s="58"/>
    </row>
    <row r="40" spans="1:14">
      <c r="B40" s="43" t="s">
        <v>120</v>
      </c>
      <c r="C40" s="58"/>
      <c r="D40" s="51"/>
      <c r="E40" s="58"/>
      <c r="F40" s="51"/>
      <c r="G40" s="58"/>
      <c r="H40" s="48"/>
      <c r="I40" s="58"/>
      <c r="J40" s="51"/>
      <c r="L40" s="58"/>
      <c r="M40" s="51"/>
      <c r="N40" s="58"/>
    </row>
    <row r="41" spans="1:14">
      <c r="B41" s="43" t="s">
        <v>121</v>
      </c>
      <c r="C41" s="58"/>
      <c r="D41" s="51"/>
      <c r="E41" s="58"/>
      <c r="F41" s="51"/>
      <c r="G41" s="58"/>
      <c r="H41" s="48"/>
      <c r="I41" s="58"/>
      <c r="J41" s="51"/>
      <c r="L41" s="58"/>
      <c r="M41" s="51"/>
      <c r="N41" s="58"/>
    </row>
    <row r="42" spans="1:14">
      <c r="B42" s="59" t="s">
        <v>122</v>
      </c>
      <c r="C42" s="58"/>
      <c r="D42" s="51"/>
      <c r="E42" s="58"/>
      <c r="F42" s="51"/>
      <c r="G42" s="58"/>
      <c r="H42" s="48"/>
      <c r="I42" s="58"/>
      <c r="J42" s="51"/>
      <c r="L42" s="58"/>
      <c r="M42" s="51"/>
      <c r="N42" s="58"/>
    </row>
    <row r="43" spans="1:14">
      <c r="B43" s="43" t="s">
        <v>123</v>
      </c>
      <c r="C43" s="58"/>
      <c r="D43" s="51"/>
      <c r="E43" s="58"/>
      <c r="F43" s="51"/>
      <c r="G43" s="58"/>
      <c r="H43" s="48"/>
      <c r="I43" s="58"/>
      <c r="J43" s="51"/>
      <c r="L43" s="58"/>
      <c r="M43" s="51"/>
      <c r="N43" s="58"/>
    </row>
    <row r="44" spans="1:14">
      <c r="B44" s="43" t="s">
        <v>124</v>
      </c>
      <c r="C44" s="58"/>
      <c r="D44" s="51"/>
      <c r="E44" s="58"/>
      <c r="F44" s="51"/>
      <c r="G44" s="58"/>
      <c r="H44" s="48"/>
      <c r="I44" s="58"/>
      <c r="J44" s="51"/>
      <c r="L44" s="58"/>
      <c r="M44" s="51"/>
      <c r="N44" s="58"/>
    </row>
    <row r="45" spans="1:14">
      <c r="B45" s="43" t="s">
        <v>125</v>
      </c>
      <c r="C45" s="58"/>
      <c r="D45" s="51"/>
      <c r="E45" s="58"/>
      <c r="F45" s="51"/>
      <c r="G45" s="58"/>
      <c r="H45" s="48"/>
      <c r="I45" s="58"/>
      <c r="J45" s="51"/>
      <c r="L45" s="58"/>
      <c r="M45" s="51"/>
      <c r="N45" s="58"/>
    </row>
    <row r="46" spans="1:14">
      <c r="B46" s="43" t="s">
        <v>126</v>
      </c>
      <c r="C46" s="58"/>
      <c r="D46" s="51"/>
      <c r="E46" s="58"/>
      <c r="F46" s="51"/>
      <c r="G46" s="58"/>
      <c r="H46" s="48"/>
      <c r="I46" s="58"/>
      <c r="J46" s="51"/>
      <c r="L46" s="58"/>
      <c r="M46" s="51"/>
      <c r="N46" s="58"/>
    </row>
    <row r="47" spans="1:14">
      <c r="B47" s="43" t="s">
        <v>127</v>
      </c>
      <c r="C47" s="58"/>
      <c r="D47" s="51"/>
      <c r="E47" s="58"/>
      <c r="F47" s="51"/>
      <c r="G47" s="58"/>
      <c r="H47" s="48"/>
      <c r="I47" s="58"/>
      <c r="J47" s="51"/>
      <c r="L47" s="58"/>
      <c r="M47" s="51"/>
      <c r="N47" s="58"/>
    </row>
    <row r="48" spans="1:14">
      <c r="B48" s="43" t="s">
        <v>128</v>
      </c>
      <c r="C48" s="58"/>
      <c r="D48" s="51"/>
      <c r="E48" s="58"/>
      <c r="F48" s="51"/>
      <c r="G48" s="58"/>
      <c r="H48" s="48"/>
      <c r="I48" s="58"/>
      <c r="J48" s="51"/>
      <c r="L48" s="58"/>
      <c r="M48" s="51"/>
      <c r="N48" s="58"/>
    </row>
    <row r="49" spans="1:14">
      <c r="B49" s="43" t="s">
        <v>129</v>
      </c>
      <c r="C49" s="58"/>
      <c r="D49" s="51"/>
      <c r="E49" s="58"/>
      <c r="F49" s="51"/>
      <c r="G49" s="58"/>
      <c r="H49" s="48"/>
      <c r="I49" s="58"/>
      <c r="J49" s="51"/>
      <c r="L49" s="58"/>
      <c r="M49" s="51"/>
      <c r="N49" s="58"/>
    </row>
    <row r="50" spans="1:14">
      <c r="B50" s="43" t="s">
        <v>130</v>
      </c>
      <c r="C50" s="58"/>
      <c r="D50" s="51"/>
      <c r="E50" s="58"/>
      <c r="F50" s="51"/>
      <c r="G50" s="58"/>
      <c r="H50" s="48"/>
      <c r="I50" s="58"/>
      <c r="J50" s="51"/>
      <c r="L50" s="58"/>
      <c r="M50" s="51"/>
      <c r="N50" s="58"/>
    </row>
    <row r="51" spans="1:14">
      <c r="B51" s="43" t="s">
        <v>131</v>
      </c>
      <c r="C51" s="58"/>
      <c r="D51" s="51"/>
      <c r="E51" s="58"/>
      <c r="F51" s="51"/>
      <c r="G51" s="58"/>
      <c r="H51" s="48"/>
      <c r="I51" s="58"/>
      <c r="J51" s="51"/>
      <c r="L51" s="58"/>
      <c r="M51" s="51"/>
      <c r="N51" s="58"/>
    </row>
    <row r="52" spans="1:14">
      <c r="B52" s="43" t="s">
        <v>52</v>
      </c>
      <c r="C52" s="58"/>
      <c r="D52" s="51"/>
      <c r="E52" s="58"/>
      <c r="F52" s="51"/>
      <c r="G52" s="58"/>
      <c r="H52" s="48"/>
      <c r="I52" s="58"/>
      <c r="J52" s="51"/>
      <c r="L52" s="58"/>
      <c r="M52" s="51"/>
      <c r="N52" s="58"/>
    </row>
    <row r="54" spans="1:14">
      <c r="A54" s="43" t="s">
        <v>19</v>
      </c>
      <c r="B54" s="57" t="s">
        <v>20</v>
      </c>
    </row>
    <row r="55" spans="1:14">
      <c r="B55" s="57" t="s">
        <v>113</v>
      </c>
      <c r="C55" s="51"/>
      <c r="D55" s="51"/>
      <c r="E55" s="51"/>
      <c r="F55" s="51"/>
      <c r="G55" s="51"/>
      <c r="H55" s="51"/>
      <c r="I55" s="51"/>
      <c r="J55" s="51"/>
      <c r="K55" s="42"/>
      <c r="L55" s="56"/>
      <c r="M55" s="42"/>
      <c r="N55" s="56"/>
    </row>
    <row r="56" spans="1:14" ht="13.5" thickBot="1">
      <c r="B56" s="57"/>
      <c r="C56" s="14">
        <f>SUM(C57:C70)</f>
        <v>0</v>
      </c>
      <c r="D56"/>
      <c r="E56" s="14">
        <f>SUM(E57:E70)</f>
        <v>0</v>
      </c>
      <c r="F56"/>
      <c r="G56" s="14">
        <f>SUM(G57:G70)</f>
        <v>0</v>
      </c>
      <c r="H56"/>
      <c r="I56" s="14">
        <f>SUM(I57:I70)</f>
        <v>0</v>
      </c>
      <c r="J56"/>
      <c r="K56" s="14"/>
      <c r="L56" s="14">
        <f>SUM(L57:L70)</f>
        <v>0</v>
      </c>
      <c r="M56"/>
      <c r="N56" s="14">
        <f>SUM(N57:N70)</f>
        <v>0</v>
      </c>
    </row>
    <row r="57" spans="1:14">
      <c r="B57" s="43" t="s">
        <v>104</v>
      </c>
      <c r="C57" s="58"/>
      <c r="D57" s="51"/>
      <c r="E57" s="58"/>
      <c r="F57" s="51"/>
      <c r="G57" s="58"/>
      <c r="H57" s="48"/>
      <c r="I57" s="58"/>
      <c r="J57" s="51"/>
      <c r="L57" s="58"/>
      <c r="M57" s="51"/>
      <c r="N57" s="58"/>
    </row>
    <row r="58" spans="1:14">
      <c r="B58" s="43" t="s">
        <v>120</v>
      </c>
      <c r="C58" s="58"/>
      <c r="D58" s="51"/>
      <c r="E58" s="58"/>
      <c r="F58" s="51"/>
      <c r="G58" s="58"/>
      <c r="H58" s="48"/>
      <c r="I58" s="58"/>
      <c r="J58" s="51"/>
      <c r="L58" s="58"/>
      <c r="M58" s="51"/>
      <c r="N58" s="58"/>
    </row>
    <row r="59" spans="1:14">
      <c r="B59" s="43" t="s">
        <v>121</v>
      </c>
      <c r="C59" s="58"/>
      <c r="D59" s="51"/>
      <c r="E59" s="58"/>
      <c r="F59" s="51"/>
      <c r="G59" s="58"/>
      <c r="H59" s="48"/>
      <c r="I59" s="58"/>
      <c r="J59" s="51"/>
      <c r="L59" s="58"/>
      <c r="M59" s="51"/>
      <c r="N59" s="58"/>
    </row>
    <row r="60" spans="1:14">
      <c r="B60" s="59" t="s">
        <v>122</v>
      </c>
      <c r="C60" s="58"/>
      <c r="D60" s="51"/>
      <c r="E60" s="58"/>
      <c r="F60" s="51"/>
      <c r="G60" s="58"/>
      <c r="H60" s="48"/>
      <c r="I60" s="58"/>
      <c r="J60" s="51"/>
      <c r="L60" s="58"/>
      <c r="M60" s="51"/>
      <c r="N60" s="58"/>
    </row>
    <row r="61" spans="1:14">
      <c r="B61" s="43" t="s">
        <v>123</v>
      </c>
      <c r="C61" s="58"/>
      <c r="D61" s="51"/>
      <c r="E61" s="58"/>
      <c r="F61" s="51"/>
      <c r="G61" s="58"/>
      <c r="H61" s="48"/>
      <c r="I61" s="58"/>
      <c r="J61" s="51"/>
      <c r="L61" s="58"/>
      <c r="M61" s="51"/>
      <c r="N61" s="58"/>
    </row>
    <row r="62" spans="1:14">
      <c r="B62" s="43" t="s">
        <v>124</v>
      </c>
      <c r="C62" s="58"/>
      <c r="D62" s="51"/>
      <c r="E62" s="58"/>
      <c r="F62" s="51"/>
      <c r="G62" s="58"/>
      <c r="H62" s="48"/>
      <c r="I62" s="58"/>
      <c r="J62" s="51"/>
      <c r="L62" s="58"/>
      <c r="M62" s="51"/>
      <c r="N62" s="58"/>
    </row>
    <row r="63" spans="1:14">
      <c r="B63" s="43" t="s">
        <v>125</v>
      </c>
      <c r="C63" s="58"/>
      <c r="D63" s="51"/>
      <c r="E63" s="58"/>
      <c r="F63" s="51"/>
      <c r="G63" s="58"/>
      <c r="H63" s="48"/>
      <c r="I63" s="58"/>
      <c r="J63" s="51"/>
      <c r="L63" s="58"/>
      <c r="M63" s="51"/>
      <c r="N63" s="58"/>
    </row>
    <row r="64" spans="1:14">
      <c r="B64" s="43" t="s">
        <v>126</v>
      </c>
      <c r="C64" s="58"/>
      <c r="D64" s="51"/>
      <c r="E64" s="58"/>
      <c r="F64" s="51"/>
      <c r="G64" s="58"/>
      <c r="H64" s="48"/>
      <c r="I64" s="58"/>
      <c r="J64" s="51"/>
      <c r="L64" s="58"/>
      <c r="M64" s="51"/>
      <c r="N64" s="58"/>
    </row>
    <row r="65" spans="1:14">
      <c r="B65" s="43" t="s">
        <v>127</v>
      </c>
      <c r="C65" s="58"/>
      <c r="D65" s="51"/>
      <c r="E65" s="58"/>
      <c r="F65" s="51"/>
      <c r="G65" s="58"/>
      <c r="H65" s="48"/>
      <c r="I65" s="58"/>
      <c r="J65" s="51"/>
      <c r="L65" s="58"/>
      <c r="M65" s="51"/>
      <c r="N65" s="58"/>
    </row>
    <row r="66" spans="1:14">
      <c r="B66" s="43" t="s">
        <v>128</v>
      </c>
      <c r="C66" s="58"/>
      <c r="D66" s="51"/>
      <c r="E66" s="58"/>
      <c r="F66" s="51"/>
      <c r="G66" s="58"/>
      <c r="H66" s="48"/>
      <c r="I66" s="58"/>
      <c r="J66" s="51"/>
      <c r="L66" s="58"/>
      <c r="M66" s="51"/>
      <c r="N66" s="58"/>
    </row>
    <row r="67" spans="1:14">
      <c r="B67" s="43" t="s">
        <v>129</v>
      </c>
      <c r="C67" s="58"/>
      <c r="D67" s="51"/>
      <c r="E67" s="58"/>
      <c r="F67" s="51"/>
      <c r="G67" s="58"/>
      <c r="H67" s="48"/>
      <c r="I67" s="58"/>
      <c r="J67" s="51"/>
      <c r="L67" s="58"/>
      <c r="M67" s="51"/>
      <c r="N67" s="58"/>
    </row>
    <row r="68" spans="1:14">
      <c r="B68" s="43" t="s">
        <v>130</v>
      </c>
      <c r="C68" s="58"/>
      <c r="D68" s="51"/>
      <c r="E68" s="58"/>
      <c r="F68" s="51"/>
      <c r="G68" s="58"/>
      <c r="H68" s="48"/>
      <c r="I68" s="58"/>
      <c r="J68" s="51"/>
      <c r="L68" s="58"/>
      <c r="M68" s="51"/>
      <c r="N68" s="58"/>
    </row>
    <row r="69" spans="1:14">
      <c r="B69" s="43" t="s">
        <v>131</v>
      </c>
      <c r="C69" s="58"/>
      <c r="D69" s="51"/>
      <c r="E69" s="58"/>
      <c r="F69" s="51"/>
      <c r="G69" s="58"/>
      <c r="H69" s="48"/>
      <c r="I69" s="58"/>
      <c r="J69" s="51"/>
      <c r="L69" s="58"/>
      <c r="M69" s="51"/>
      <c r="N69" s="58"/>
    </row>
    <row r="70" spans="1:14">
      <c r="B70" s="43" t="s">
        <v>52</v>
      </c>
      <c r="C70" s="58"/>
      <c r="D70" s="51"/>
      <c r="E70" s="58"/>
      <c r="F70" s="51"/>
      <c r="G70" s="58"/>
      <c r="H70" s="48"/>
      <c r="I70" s="58"/>
      <c r="J70" s="51"/>
      <c r="L70" s="58"/>
      <c r="M70" s="51"/>
      <c r="N70" s="58"/>
    </row>
    <row r="71" spans="1:14">
      <c r="C71" s="48"/>
      <c r="D71" s="48"/>
      <c r="E71" s="48"/>
      <c r="F71" s="48"/>
      <c r="G71" s="48"/>
      <c r="H71" s="48"/>
      <c r="I71" s="48"/>
      <c r="J71" s="48"/>
      <c r="K71" s="48"/>
      <c r="M71" s="48"/>
    </row>
    <row r="72" spans="1:14">
      <c r="A72" s="43" t="s">
        <v>21</v>
      </c>
      <c r="B72" s="57" t="s">
        <v>22</v>
      </c>
      <c r="C72" s="48"/>
      <c r="D72" s="48"/>
      <c r="E72" s="48"/>
      <c r="F72" s="48"/>
      <c r="G72" s="48"/>
      <c r="H72" s="48"/>
      <c r="I72" s="48"/>
      <c r="J72" s="48"/>
      <c r="K72" s="48"/>
      <c r="M72" s="48"/>
    </row>
    <row r="73" spans="1:14">
      <c r="B73" s="57" t="s">
        <v>113</v>
      </c>
      <c r="C73" s="51"/>
      <c r="D73" s="51"/>
      <c r="E73" s="51"/>
      <c r="F73" s="51"/>
      <c r="G73" s="51"/>
      <c r="H73" s="51"/>
      <c r="I73" s="51"/>
      <c r="J73" s="51"/>
      <c r="K73" s="42"/>
      <c r="L73" s="56"/>
      <c r="M73" s="42"/>
      <c r="N73" s="56"/>
    </row>
    <row r="74" spans="1:14" ht="13.5" thickBot="1">
      <c r="B74" s="57"/>
      <c r="C74" s="14">
        <f>SUM(C75:C88)</f>
        <v>0</v>
      </c>
      <c r="D74"/>
      <c r="E74" s="14">
        <f>SUM(E75:E88)</f>
        <v>0</v>
      </c>
      <c r="F74"/>
      <c r="G74" s="14">
        <f>SUM(G75:G88)</f>
        <v>0</v>
      </c>
      <c r="H74"/>
      <c r="I74" s="14">
        <f>SUM(I75:I88)</f>
        <v>0</v>
      </c>
      <c r="J74"/>
      <c r="K74" s="14"/>
      <c r="L74" s="14">
        <f>SUM(L75:L88)</f>
        <v>0</v>
      </c>
      <c r="M74"/>
      <c r="N74" s="14">
        <f>SUM(N75:N88)</f>
        <v>0</v>
      </c>
    </row>
    <row r="75" spans="1:14">
      <c r="B75" s="43" t="s">
        <v>104</v>
      </c>
      <c r="C75" s="58"/>
      <c r="D75" s="51"/>
      <c r="E75" s="58"/>
      <c r="F75" s="51"/>
      <c r="G75" s="58"/>
      <c r="H75" s="48"/>
      <c r="I75" s="58"/>
      <c r="J75" s="51"/>
      <c r="L75" s="58"/>
      <c r="M75" s="51"/>
      <c r="N75" s="58"/>
    </row>
    <row r="76" spans="1:14">
      <c r="B76" s="43" t="s">
        <v>120</v>
      </c>
      <c r="C76" s="58"/>
      <c r="D76" s="51"/>
      <c r="E76" s="58"/>
      <c r="F76" s="51"/>
      <c r="G76" s="58"/>
      <c r="H76" s="48"/>
      <c r="I76" s="58"/>
      <c r="J76" s="51"/>
      <c r="L76" s="58"/>
      <c r="M76" s="51"/>
      <c r="N76" s="58"/>
    </row>
    <row r="77" spans="1:14">
      <c r="B77" s="43" t="s">
        <v>121</v>
      </c>
      <c r="C77" s="58"/>
      <c r="D77" s="51"/>
      <c r="E77" s="58"/>
      <c r="F77" s="51"/>
      <c r="G77" s="58"/>
      <c r="H77" s="48"/>
      <c r="I77" s="58"/>
      <c r="J77" s="51"/>
      <c r="L77" s="58"/>
      <c r="M77" s="51"/>
      <c r="N77" s="58"/>
    </row>
    <row r="78" spans="1:14">
      <c r="B78" s="59" t="s">
        <v>122</v>
      </c>
      <c r="C78" s="58"/>
      <c r="D78" s="51"/>
      <c r="E78" s="58"/>
      <c r="F78" s="51"/>
      <c r="G78" s="58"/>
      <c r="H78" s="48"/>
      <c r="I78" s="58"/>
      <c r="J78" s="51"/>
      <c r="L78" s="58"/>
      <c r="M78" s="51"/>
      <c r="N78" s="58"/>
    </row>
    <row r="79" spans="1:14">
      <c r="B79" s="43" t="s">
        <v>123</v>
      </c>
      <c r="C79" s="58"/>
      <c r="D79" s="51"/>
      <c r="E79" s="58"/>
      <c r="F79" s="51"/>
      <c r="G79" s="58"/>
      <c r="H79" s="48"/>
      <c r="I79" s="58"/>
      <c r="J79" s="51"/>
      <c r="L79" s="58"/>
      <c r="M79" s="51"/>
      <c r="N79" s="58"/>
    </row>
    <row r="80" spans="1:14">
      <c r="B80" s="43" t="s">
        <v>124</v>
      </c>
      <c r="C80" s="58"/>
      <c r="D80" s="51"/>
      <c r="E80" s="58"/>
      <c r="F80" s="51"/>
      <c r="G80" s="58"/>
      <c r="H80" s="48"/>
      <c r="I80" s="58"/>
      <c r="J80" s="51"/>
      <c r="L80" s="58"/>
      <c r="M80" s="51"/>
      <c r="N80" s="58"/>
    </row>
    <row r="81" spans="1:14">
      <c r="B81" s="43" t="s">
        <v>125</v>
      </c>
      <c r="C81" s="58"/>
      <c r="D81" s="51"/>
      <c r="E81" s="58"/>
      <c r="F81" s="51"/>
      <c r="G81" s="58"/>
      <c r="H81" s="48"/>
      <c r="I81" s="58"/>
      <c r="J81" s="51"/>
      <c r="L81" s="58"/>
      <c r="M81" s="51"/>
      <c r="N81" s="58"/>
    </row>
    <row r="82" spans="1:14">
      <c r="B82" s="43" t="s">
        <v>126</v>
      </c>
      <c r="C82" s="58"/>
      <c r="D82" s="51"/>
      <c r="E82" s="58"/>
      <c r="F82" s="51"/>
      <c r="G82" s="58"/>
      <c r="H82" s="48"/>
      <c r="I82" s="58"/>
      <c r="J82" s="51"/>
      <c r="L82" s="58"/>
      <c r="M82" s="51"/>
      <c r="N82" s="58"/>
    </row>
    <row r="83" spans="1:14">
      <c r="B83" s="43" t="s">
        <v>127</v>
      </c>
      <c r="C83" s="58"/>
      <c r="D83" s="51"/>
      <c r="E83" s="58"/>
      <c r="F83" s="51"/>
      <c r="G83" s="58"/>
      <c r="H83" s="48"/>
      <c r="I83" s="58"/>
      <c r="J83" s="51"/>
      <c r="L83" s="58"/>
      <c r="M83" s="51"/>
      <c r="N83" s="58"/>
    </row>
    <row r="84" spans="1:14">
      <c r="B84" s="43" t="s">
        <v>128</v>
      </c>
      <c r="C84" s="58"/>
      <c r="D84" s="51"/>
      <c r="E84" s="58"/>
      <c r="F84" s="51"/>
      <c r="G84" s="58"/>
      <c r="H84" s="48"/>
      <c r="I84" s="58"/>
      <c r="J84" s="51"/>
      <c r="L84" s="58"/>
      <c r="M84" s="51"/>
      <c r="N84" s="58"/>
    </row>
    <row r="85" spans="1:14">
      <c r="B85" s="43" t="s">
        <v>129</v>
      </c>
      <c r="C85" s="58"/>
      <c r="D85" s="51"/>
      <c r="E85" s="58"/>
      <c r="F85" s="51"/>
      <c r="G85" s="58"/>
      <c r="H85" s="48"/>
      <c r="I85" s="58"/>
      <c r="J85" s="51"/>
      <c r="L85" s="58"/>
      <c r="M85" s="51"/>
      <c r="N85" s="58"/>
    </row>
    <row r="86" spans="1:14">
      <c r="B86" s="43" t="s">
        <v>130</v>
      </c>
      <c r="C86" s="58"/>
      <c r="D86" s="51"/>
      <c r="E86" s="58"/>
      <c r="F86" s="51"/>
      <c r="G86" s="58"/>
      <c r="H86" s="48"/>
      <c r="I86" s="58"/>
      <c r="J86" s="51"/>
      <c r="L86" s="58"/>
      <c r="M86" s="51"/>
      <c r="N86" s="58"/>
    </row>
    <row r="87" spans="1:14">
      <c r="B87" s="43" t="s">
        <v>131</v>
      </c>
      <c r="C87" s="58"/>
      <c r="D87" s="51"/>
      <c r="E87" s="58"/>
      <c r="F87" s="51"/>
      <c r="G87" s="58"/>
      <c r="H87" s="48"/>
      <c r="I87" s="58"/>
      <c r="J87" s="51"/>
      <c r="L87" s="58"/>
      <c r="M87" s="51"/>
      <c r="N87" s="58"/>
    </row>
    <row r="88" spans="1:14">
      <c r="B88" s="43" t="s">
        <v>52</v>
      </c>
      <c r="C88" s="58"/>
      <c r="D88" s="51"/>
      <c r="E88" s="58"/>
      <c r="F88" s="51"/>
      <c r="G88" s="58"/>
      <c r="H88" s="48"/>
      <c r="I88" s="58"/>
      <c r="J88" s="51"/>
      <c r="L88" s="58"/>
      <c r="M88" s="51"/>
      <c r="N88" s="58"/>
    </row>
    <row r="90" spans="1:14">
      <c r="A90" s="43" t="s">
        <v>23</v>
      </c>
      <c r="B90" s="57" t="s">
        <v>24</v>
      </c>
      <c r="C90" s="51"/>
      <c r="D90" s="51"/>
      <c r="E90" s="51"/>
      <c r="F90" s="51"/>
      <c r="G90" s="51"/>
      <c r="H90" s="51"/>
      <c r="I90" s="51"/>
      <c r="J90" s="51"/>
      <c r="K90" s="42"/>
      <c r="L90" s="56"/>
      <c r="M90" s="42"/>
      <c r="N90" s="56"/>
    </row>
    <row r="91" spans="1:14" ht="13.5" thickBot="1">
      <c r="B91" s="57"/>
      <c r="C91" s="14">
        <f>SUM(C92:C105)</f>
        <v>0</v>
      </c>
      <c r="D91"/>
      <c r="E91" s="14">
        <f>SUM(E92:E105)</f>
        <v>0</v>
      </c>
      <c r="F91"/>
      <c r="G91" s="14">
        <f>SUM(G92:G105)</f>
        <v>0</v>
      </c>
      <c r="H91"/>
      <c r="I91" s="14">
        <f>SUM(I92:I105)</f>
        <v>0</v>
      </c>
      <c r="J91"/>
      <c r="K91" s="14"/>
      <c r="L91" s="14">
        <f>SUM(L92:L105)</f>
        <v>0</v>
      </c>
      <c r="M91"/>
      <c r="N91" s="14">
        <f>SUM(N92:N105)</f>
        <v>0</v>
      </c>
    </row>
    <row r="92" spans="1:14">
      <c r="B92" s="43" t="s">
        <v>104</v>
      </c>
      <c r="C92" s="58"/>
      <c r="D92" s="51"/>
      <c r="E92" s="58"/>
      <c r="F92" s="51"/>
      <c r="G92" s="58"/>
      <c r="H92" s="48"/>
      <c r="I92" s="58"/>
      <c r="J92" s="51"/>
      <c r="L92" s="58"/>
      <c r="M92" s="51"/>
      <c r="N92" s="58"/>
    </row>
    <row r="93" spans="1:14">
      <c r="B93" s="43" t="s">
        <v>120</v>
      </c>
      <c r="C93" s="58"/>
      <c r="D93" s="51"/>
      <c r="E93" s="58"/>
      <c r="F93" s="51"/>
      <c r="G93" s="58"/>
      <c r="H93" s="48"/>
      <c r="I93" s="58"/>
      <c r="J93" s="51"/>
      <c r="L93" s="58"/>
      <c r="M93" s="51"/>
      <c r="N93" s="58"/>
    </row>
    <row r="94" spans="1:14">
      <c r="B94" s="43" t="s">
        <v>121</v>
      </c>
      <c r="C94" s="58"/>
      <c r="D94" s="51"/>
      <c r="E94" s="58"/>
      <c r="F94" s="51"/>
      <c r="G94" s="58"/>
      <c r="H94" s="48"/>
      <c r="I94" s="58"/>
      <c r="J94" s="51"/>
      <c r="L94" s="58"/>
      <c r="M94" s="51"/>
      <c r="N94" s="58"/>
    </row>
    <row r="95" spans="1:14">
      <c r="B95" s="59" t="s">
        <v>122</v>
      </c>
      <c r="C95" s="58"/>
      <c r="D95" s="51"/>
      <c r="E95" s="58"/>
      <c r="F95" s="51"/>
      <c r="G95" s="58"/>
      <c r="H95" s="48"/>
      <c r="I95" s="58"/>
      <c r="J95" s="51"/>
      <c r="L95" s="58"/>
      <c r="M95" s="51"/>
      <c r="N95" s="58"/>
    </row>
    <row r="96" spans="1:14">
      <c r="B96" s="43" t="s">
        <v>123</v>
      </c>
      <c r="C96" s="58"/>
      <c r="D96" s="51"/>
      <c r="E96" s="58"/>
      <c r="F96" s="51"/>
      <c r="G96" s="58"/>
      <c r="H96" s="48"/>
      <c r="I96" s="58"/>
      <c r="J96" s="51"/>
      <c r="L96" s="58"/>
      <c r="M96" s="51"/>
      <c r="N96" s="58"/>
    </row>
    <row r="97" spans="2:21">
      <c r="B97" s="43" t="s">
        <v>124</v>
      </c>
      <c r="C97" s="58"/>
      <c r="D97" s="51"/>
      <c r="E97" s="58"/>
      <c r="F97" s="51"/>
      <c r="G97" s="58"/>
      <c r="H97" s="48"/>
      <c r="I97" s="58"/>
      <c r="J97" s="51"/>
      <c r="L97" s="58"/>
      <c r="M97" s="51"/>
      <c r="N97" s="58"/>
    </row>
    <row r="98" spans="2:21">
      <c r="B98" s="43" t="s">
        <v>125</v>
      </c>
      <c r="C98" s="58"/>
      <c r="D98" s="51"/>
      <c r="E98" s="58"/>
      <c r="F98" s="51"/>
      <c r="G98" s="58"/>
      <c r="H98" s="48"/>
      <c r="I98" s="58"/>
      <c r="J98" s="51"/>
      <c r="L98" s="58"/>
      <c r="M98" s="51"/>
      <c r="N98" s="58"/>
    </row>
    <row r="99" spans="2:21">
      <c r="B99" s="43" t="s">
        <v>126</v>
      </c>
      <c r="C99" s="58"/>
      <c r="D99" s="51"/>
      <c r="E99" s="58"/>
      <c r="F99" s="51"/>
      <c r="G99" s="58"/>
      <c r="H99" s="48"/>
      <c r="I99" s="58"/>
      <c r="J99" s="51"/>
      <c r="L99" s="58"/>
      <c r="M99" s="51"/>
      <c r="N99" s="58"/>
    </row>
    <row r="100" spans="2:21">
      <c r="B100" s="43" t="s">
        <v>127</v>
      </c>
      <c r="C100" s="58"/>
      <c r="D100" s="51"/>
      <c r="E100" s="58"/>
      <c r="F100" s="51"/>
      <c r="G100" s="58"/>
      <c r="H100" s="48"/>
      <c r="I100" s="58"/>
      <c r="J100" s="51"/>
      <c r="L100" s="58"/>
      <c r="M100" s="51"/>
      <c r="N100" s="58"/>
    </row>
    <row r="101" spans="2:21">
      <c r="B101" s="43" t="s">
        <v>128</v>
      </c>
      <c r="C101" s="58"/>
      <c r="D101" s="51"/>
      <c r="E101" s="58"/>
      <c r="F101" s="51"/>
      <c r="G101" s="58"/>
      <c r="H101" s="48"/>
      <c r="I101" s="58"/>
      <c r="J101" s="51"/>
      <c r="L101" s="58"/>
      <c r="M101" s="51"/>
      <c r="N101" s="58"/>
    </row>
    <row r="102" spans="2:21">
      <c r="B102" s="43" t="s">
        <v>129</v>
      </c>
      <c r="C102" s="58"/>
      <c r="D102" s="51"/>
      <c r="E102" s="58"/>
      <c r="F102" s="51"/>
      <c r="G102" s="58"/>
      <c r="H102" s="48"/>
      <c r="I102" s="58"/>
      <c r="J102" s="51"/>
      <c r="L102" s="58"/>
      <c r="M102" s="51"/>
      <c r="N102" s="58"/>
    </row>
    <row r="103" spans="2:21">
      <c r="B103" s="43" t="s">
        <v>130</v>
      </c>
      <c r="C103" s="58"/>
      <c r="D103" s="51"/>
      <c r="E103" s="58"/>
      <c r="F103" s="51"/>
      <c r="G103" s="58"/>
      <c r="H103" s="48"/>
      <c r="I103" s="58"/>
      <c r="J103" s="51"/>
      <c r="L103" s="58"/>
      <c r="M103" s="51"/>
      <c r="N103" s="58"/>
    </row>
    <row r="104" spans="2:21">
      <c r="B104" s="43" t="s">
        <v>131</v>
      </c>
      <c r="C104" s="58"/>
      <c r="D104" s="51"/>
      <c r="E104" s="58"/>
      <c r="F104" s="51"/>
      <c r="G104" s="58"/>
      <c r="H104" s="48"/>
      <c r="I104" s="58"/>
      <c r="J104" s="51"/>
      <c r="L104" s="58"/>
      <c r="M104" s="51"/>
      <c r="N104" s="58"/>
    </row>
    <row r="105" spans="2:21">
      <c r="B105" s="43" t="s">
        <v>52</v>
      </c>
      <c r="C105" s="58"/>
      <c r="D105" s="51"/>
      <c r="E105" s="58"/>
      <c r="F105" s="51"/>
      <c r="G105" s="58"/>
      <c r="H105" s="48"/>
      <c r="I105" s="58"/>
      <c r="J105" s="51"/>
      <c r="L105" s="58"/>
      <c r="M105" s="51"/>
      <c r="N105" s="58"/>
    </row>
    <row r="107" spans="2:21">
      <c r="B107" s="45" t="s">
        <v>26</v>
      </c>
      <c r="C107" s="20">
        <f>SUM(C20+C38+C56+C74+C91)</f>
        <v>0</v>
      </c>
      <c r="D107" s="45"/>
      <c r="E107" s="20">
        <f>SUM(E20+E38+E56+E74+E91)</f>
        <v>0</v>
      </c>
      <c r="F107" s="45"/>
      <c r="G107" s="20">
        <f>SUM(G20+G38+G56+G74+G91)</f>
        <v>0</v>
      </c>
      <c r="H107" s="45"/>
      <c r="I107" s="20">
        <f>SUM(I20+I38+I56+I74+I91)</f>
        <v>0</v>
      </c>
      <c r="J107" s="45"/>
      <c r="K107" s="45"/>
      <c r="L107" s="20">
        <f>SUM(L20+L38+L56+L74+L91)</f>
        <v>0</v>
      </c>
      <c r="M107" s="45"/>
      <c r="N107" s="20">
        <f>SUM(N20+N38+N56+N74+N91)</f>
        <v>0</v>
      </c>
    </row>
    <row r="108" spans="2:21">
      <c r="R108" s="43" t="s">
        <v>25</v>
      </c>
      <c r="S108" s="43" t="s">
        <v>25</v>
      </c>
      <c r="T108" s="43" t="s">
        <v>25</v>
      </c>
      <c r="U108" s="43" t="s">
        <v>25</v>
      </c>
    </row>
    <row r="109" spans="2:21">
      <c r="R109" s="43" t="s">
        <v>25</v>
      </c>
      <c r="S109" s="43" t="s">
        <v>25</v>
      </c>
      <c r="T109" s="43" t="s">
        <v>25</v>
      </c>
      <c r="U109" s="43" t="s">
        <v>25</v>
      </c>
    </row>
  </sheetData>
  <sheetProtection algorithmName="SHA-512" hashValue="wVkUdV3pYOh2IYtH9pNlMK29eVhgcJhq2zouXtMBHdjV38jYkhYzWTa3KIEB2uvl4vxen0mhvqmSEyzyaY+Gqw==" saltValue="KPikPBFW2SEnaeaGEI56SA==" spinCount="100000" sheet="1" selectLockedCells="1"/>
  <customSheetViews>
    <customSheetView guid="{6BAB6937-F4A7-406E-B6D7-F3AB26E9CB76}" showPageBreaks="1" showGridLines="0" printArea="1">
      <selection activeCell="B38" sqref="B38"/>
      <rowBreaks count="1" manualBreakCount="1">
        <brk id="71" max="14" man="1"/>
      </rowBreaks>
      <pageMargins left="0" right="0" top="0.41" bottom="0.36" header="0.17" footer="0.28000000000000003"/>
      <printOptions horizontalCentered="1"/>
      <pageSetup paperSize="9" scale="79" fitToHeight="2" orientation="portrait" r:id="rId1"/>
      <headerFooter alignWithMargins="0"/>
    </customSheetView>
    <customSheetView guid="{6FD7F56A-E857-4CED-A5A1-7DEC8753A8FB}" showGridLines="0" topLeftCell="A25">
      <selection activeCell="G37" sqref="G37"/>
      <rowBreaks count="1" manualBreakCount="1">
        <brk id="71" max="14" man="1"/>
      </rowBreaks>
      <pageMargins left="0" right="0" top="0.41" bottom="0.36" header="0.17" footer="0.28000000000000003"/>
      <printOptions horizontalCentered="1"/>
      <pageSetup paperSize="9" scale="79" fitToHeight="2" orientation="portrait" r:id="rId2"/>
      <headerFooter alignWithMargins="0"/>
    </customSheetView>
    <customSheetView guid="{91D31259-BF8C-4449-A829-EAD5467CE226}" showGridLines="0" topLeftCell="A16">
      <selection activeCell="G20" sqref="G20"/>
      <rowBreaks count="1" manualBreakCount="1">
        <brk id="71" max="14" man="1"/>
      </rowBreaks>
      <pageMargins left="0" right="0" top="0.41" bottom="0.36" header="0.17" footer="0.28000000000000003"/>
      <printOptions horizontalCentered="1"/>
      <pageSetup paperSize="9" scale="79" fitToHeight="2" orientation="portrait" r:id="rId3"/>
      <headerFooter alignWithMargins="0"/>
    </customSheetView>
  </customSheetViews>
  <dataValidations count="1">
    <dataValidation type="decimal" allowBlank="1" showInputMessage="1" showErrorMessage="1" errorTitle="Validation Error" error="Incorrect data type (numbers/decimal only)" sqref="G21:G34 I21:I34 L21:L34 N21:N34 C21:C34 E75:E88 G75:G88 I75:I88 L75:L88 N75:N88 C75:C88 C92:C105 E39:E52 G39:G52 I39:I52 L39:L52 N39:N52 C39:C52 E57:E70 G57:G70 I57:I70 L57:L70 N57:N70 C57:C70 E92:E105 G92:G105 I92:I105 L92:L105 N92:N105 E21:E34" xr:uid="{00000000-0002-0000-0600-000000000000}">
      <formula1>0</formula1>
      <formula2>9.99999999999999E+33</formula2>
    </dataValidation>
  </dataValidations>
  <printOptions horizontalCentered="1" gridLinesSet="0"/>
  <pageMargins left="0" right="0" top="0.41" bottom="0.36" header="0.17" footer="0.28000000000000003"/>
  <pageSetup paperSize="9" scale="79" fitToHeight="2" orientation="portrait" r:id="rId4"/>
  <headerFooter alignWithMargins="0"/>
  <rowBreaks count="1" manualBreakCount="1">
    <brk id="71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2:U60"/>
  <sheetViews>
    <sheetView showGridLines="0" topLeftCell="A27" zoomScaleNormal="100" workbookViewId="0">
      <selection activeCell="C27" sqref="C27"/>
    </sheetView>
  </sheetViews>
  <sheetFormatPr defaultColWidth="8.85546875" defaultRowHeight="12.75"/>
  <cols>
    <col min="1" max="1" width="2" style="43" customWidth="1"/>
    <col min="2" max="2" width="16.85546875" style="43" customWidth="1"/>
    <col min="3" max="3" width="5.85546875" style="43" customWidth="1"/>
    <col min="4" max="4" width="1.85546875" style="43" customWidth="1"/>
    <col min="5" max="5" width="12.140625" style="43" customWidth="1"/>
    <col min="6" max="6" width="1.85546875" style="43" customWidth="1"/>
    <col min="7" max="7" width="5.85546875" style="43" customWidth="1"/>
    <col min="8" max="8" width="1.85546875" style="43" customWidth="1"/>
    <col min="9" max="9" width="12.140625" style="43" customWidth="1"/>
    <col min="10" max="11" width="1.85546875" style="43" customWidth="1"/>
    <col min="12" max="12" width="5.85546875" style="43" customWidth="1"/>
    <col min="13" max="13" width="1.85546875" style="43" customWidth="1"/>
    <col min="14" max="14" width="13.42578125" style="43" customWidth="1"/>
    <col min="15" max="16384" width="8.85546875" style="43"/>
  </cols>
  <sheetData>
    <row r="2" spans="1:14">
      <c r="A2" s="46"/>
      <c r="B2" s="47"/>
      <c r="C2" s="47"/>
      <c r="D2" s="47"/>
      <c r="E2" s="47"/>
      <c r="F2" s="47"/>
      <c r="G2" s="47"/>
      <c r="H2" s="47"/>
      <c r="I2" s="48"/>
      <c r="J2" s="48"/>
      <c r="K2" s="47"/>
      <c r="L2" s="47"/>
      <c r="M2" s="47"/>
      <c r="N2" s="62" t="s">
        <v>194</v>
      </c>
    </row>
    <row r="3" spans="1:14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15.75">
      <c r="A4" s="87" t="s">
        <v>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 ht="15.75">
      <c r="A5" s="88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ht="15.75">
      <c r="A6" s="87" t="s">
        <v>133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ht="15.75">
      <c r="A7" s="88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4" ht="15.75">
      <c r="A8" s="87" t="s">
        <v>146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</row>
    <row r="11" spans="1:14">
      <c r="B11" s="50"/>
      <c r="C11" s="51"/>
    </row>
    <row r="12" spans="1:14">
      <c r="C12" s="52" t="s">
        <v>3</v>
      </c>
      <c r="D12" s="52"/>
      <c r="E12" s="47"/>
      <c r="F12" s="47"/>
      <c r="G12" s="52" t="s">
        <v>105</v>
      </c>
      <c r="H12" s="52"/>
      <c r="I12" s="47"/>
      <c r="J12" s="47"/>
      <c r="K12" s="47"/>
      <c r="L12" s="52" t="s">
        <v>90</v>
      </c>
      <c r="M12" s="52"/>
      <c r="N12" s="47"/>
    </row>
    <row r="13" spans="1:14">
      <c r="C13" s="52" t="s">
        <v>8</v>
      </c>
      <c r="D13" s="52"/>
      <c r="E13" s="47"/>
      <c r="F13" s="47"/>
      <c r="G13" s="52" t="s">
        <v>7</v>
      </c>
      <c r="H13" s="52"/>
      <c r="I13" s="47"/>
      <c r="J13" s="47"/>
      <c r="K13" s="47"/>
      <c r="L13" s="52" t="s">
        <v>8</v>
      </c>
      <c r="M13" s="52"/>
      <c r="N13" s="47"/>
    </row>
    <row r="14" spans="1:14">
      <c r="C14" s="52" t="s">
        <v>82</v>
      </c>
      <c r="D14" s="52"/>
      <c r="E14" s="47"/>
      <c r="F14" s="47"/>
      <c r="G14" s="52" t="s">
        <v>10</v>
      </c>
      <c r="H14" s="52"/>
      <c r="I14" s="47"/>
      <c r="J14" s="47"/>
      <c r="K14" s="47"/>
      <c r="L14" s="52" t="s">
        <v>11</v>
      </c>
      <c r="M14" s="52"/>
      <c r="N14" s="47"/>
    </row>
    <row r="16" spans="1:14">
      <c r="C16" s="48" t="s">
        <v>12</v>
      </c>
      <c r="D16" s="48"/>
      <c r="E16" s="44" t="s">
        <v>13</v>
      </c>
      <c r="F16" s="48"/>
      <c r="G16" s="48" t="s">
        <v>12</v>
      </c>
      <c r="H16" s="48"/>
      <c r="I16" s="44" t="s">
        <v>13</v>
      </c>
      <c r="J16" s="48"/>
      <c r="K16" s="48"/>
      <c r="L16" s="48" t="s">
        <v>12</v>
      </c>
      <c r="M16" s="48"/>
      <c r="N16" s="44" t="s">
        <v>13</v>
      </c>
    </row>
    <row r="17" spans="1:14">
      <c r="C17" s="48"/>
      <c r="D17" s="48"/>
      <c r="E17" s="54" t="s">
        <v>14</v>
      </c>
      <c r="F17" s="55"/>
      <c r="G17" s="48"/>
      <c r="H17" s="48"/>
      <c r="I17" s="54" t="s">
        <v>14</v>
      </c>
      <c r="J17" s="55"/>
      <c r="K17" s="55"/>
      <c r="L17" s="48"/>
      <c r="M17" s="48"/>
      <c r="N17" s="54" t="s">
        <v>14</v>
      </c>
    </row>
    <row r="18" spans="1:14"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>
      <c r="A19" s="43" t="s">
        <v>4</v>
      </c>
      <c r="B19" s="57" t="s">
        <v>87</v>
      </c>
      <c r="C19" s="51"/>
      <c r="D19" s="51"/>
      <c r="E19" s="51"/>
      <c r="F19" s="51"/>
      <c r="G19" s="51"/>
      <c r="H19" s="51"/>
      <c r="I19" s="51"/>
      <c r="J19" s="51"/>
      <c r="K19" s="42"/>
      <c r="L19" s="51"/>
      <c r="M19" s="42"/>
      <c r="N19" s="51"/>
    </row>
    <row r="20" spans="1:14">
      <c r="B20" s="57"/>
      <c r="C20" s="51"/>
      <c r="D20" s="51"/>
      <c r="E20" s="51"/>
      <c r="F20" s="51"/>
      <c r="G20" s="51"/>
      <c r="H20" s="51"/>
      <c r="I20" s="51"/>
      <c r="J20" s="51"/>
      <c r="K20" s="42"/>
      <c r="L20" s="51"/>
      <c r="M20" s="42"/>
      <c r="N20" s="51"/>
    </row>
    <row r="21" spans="1:14">
      <c r="B21" s="43" t="s">
        <v>104</v>
      </c>
      <c r="C21" s="58"/>
      <c r="E21" s="58"/>
      <c r="F21" s="51"/>
      <c r="G21" s="58"/>
      <c r="H21" s="48"/>
      <c r="I21" s="58"/>
      <c r="J21" s="51"/>
      <c r="L21" s="58"/>
      <c r="N21" s="58"/>
    </row>
    <row r="22" spans="1:14">
      <c r="B22" s="43" t="s">
        <v>120</v>
      </c>
      <c r="C22" s="58"/>
      <c r="E22" s="58"/>
      <c r="F22" s="51"/>
      <c r="G22" s="58"/>
      <c r="H22" s="48"/>
      <c r="I22" s="58"/>
      <c r="J22" s="51"/>
      <c r="L22" s="58"/>
      <c r="N22" s="58"/>
    </row>
    <row r="23" spans="1:14">
      <c r="B23" s="43" t="s">
        <v>121</v>
      </c>
      <c r="C23" s="58"/>
      <c r="E23" s="58"/>
      <c r="F23" s="51"/>
      <c r="G23" s="58"/>
      <c r="H23" s="48"/>
      <c r="I23" s="58"/>
      <c r="J23" s="51"/>
      <c r="L23" s="58"/>
      <c r="N23" s="58"/>
    </row>
    <row r="24" spans="1:14">
      <c r="B24" s="43" t="s">
        <v>122</v>
      </c>
      <c r="C24" s="58"/>
      <c r="E24" s="58"/>
      <c r="F24" s="51"/>
      <c r="G24" s="58"/>
      <c r="H24" s="48"/>
      <c r="I24" s="58"/>
      <c r="J24" s="51"/>
      <c r="L24" s="58"/>
      <c r="N24" s="58"/>
    </row>
    <row r="25" spans="1:14">
      <c r="B25" s="43" t="s">
        <v>123</v>
      </c>
      <c r="C25" s="58"/>
      <c r="E25" s="58"/>
      <c r="F25" s="51"/>
      <c r="G25" s="58"/>
      <c r="H25" s="48"/>
      <c r="I25" s="58"/>
      <c r="J25" s="51"/>
      <c r="L25" s="58"/>
      <c r="N25" s="58"/>
    </row>
    <row r="26" spans="1:14">
      <c r="B26" s="43" t="s">
        <v>124</v>
      </c>
      <c r="C26" s="58"/>
      <c r="E26" s="58"/>
      <c r="F26" s="51"/>
      <c r="G26" s="58"/>
      <c r="H26" s="48"/>
      <c r="I26" s="58"/>
      <c r="J26" s="51"/>
      <c r="L26" s="58"/>
      <c r="N26" s="58"/>
    </row>
    <row r="27" spans="1:14">
      <c r="B27" s="43" t="s">
        <v>125</v>
      </c>
      <c r="C27" s="58"/>
      <c r="E27" s="58"/>
      <c r="F27" s="51"/>
      <c r="G27" s="58"/>
      <c r="H27" s="48"/>
      <c r="I27" s="58"/>
      <c r="J27" s="51"/>
      <c r="L27" s="58"/>
      <c r="N27" s="58"/>
    </row>
    <row r="28" spans="1:14">
      <c r="B28" s="43" t="s">
        <v>126</v>
      </c>
      <c r="C28" s="58"/>
      <c r="E28" s="58"/>
      <c r="F28" s="51"/>
      <c r="G28" s="58"/>
      <c r="H28" s="48"/>
      <c r="I28" s="58"/>
      <c r="J28" s="51"/>
      <c r="L28" s="58"/>
      <c r="N28" s="58"/>
    </row>
    <row r="29" spans="1:14">
      <c r="B29" s="43" t="s">
        <v>127</v>
      </c>
      <c r="C29" s="58"/>
      <c r="E29" s="58"/>
      <c r="F29" s="51"/>
      <c r="G29" s="58"/>
      <c r="H29" s="48"/>
      <c r="I29" s="58"/>
      <c r="J29" s="51"/>
      <c r="L29" s="58"/>
      <c r="N29" s="58"/>
    </row>
    <row r="30" spans="1:14">
      <c r="B30" s="43" t="s">
        <v>128</v>
      </c>
      <c r="C30" s="58"/>
      <c r="E30" s="58"/>
      <c r="F30" s="51"/>
      <c r="G30" s="58"/>
      <c r="H30" s="48"/>
      <c r="I30" s="58"/>
      <c r="J30" s="51"/>
      <c r="L30" s="58"/>
      <c r="N30" s="58"/>
    </row>
    <row r="31" spans="1:14">
      <c r="B31" s="43" t="s">
        <v>129</v>
      </c>
      <c r="C31" s="58"/>
      <c r="E31" s="58"/>
      <c r="F31" s="51"/>
      <c r="G31" s="58"/>
      <c r="H31" s="48"/>
      <c r="I31" s="58"/>
      <c r="J31" s="51"/>
      <c r="L31" s="58"/>
      <c r="N31" s="58"/>
    </row>
    <row r="32" spans="1:14">
      <c r="B32" s="43" t="s">
        <v>130</v>
      </c>
      <c r="C32" s="58"/>
      <c r="E32" s="58"/>
      <c r="F32" s="51"/>
      <c r="G32" s="58"/>
      <c r="H32" s="48"/>
      <c r="I32" s="58"/>
      <c r="J32" s="51"/>
      <c r="L32" s="58"/>
      <c r="N32" s="58"/>
    </row>
    <row r="33" spans="1:14">
      <c r="B33" s="43" t="s">
        <v>131</v>
      </c>
      <c r="C33" s="58"/>
      <c r="E33" s="58"/>
      <c r="F33" s="51"/>
      <c r="G33" s="58"/>
      <c r="H33" s="48"/>
      <c r="I33" s="58"/>
      <c r="J33" s="51"/>
      <c r="L33" s="58"/>
      <c r="N33" s="58"/>
    </row>
    <row r="34" spans="1:14">
      <c r="B34" s="43" t="s">
        <v>52</v>
      </c>
      <c r="C34" s="58"/>
      <c r="E34" s="58"/>
      <c r="F34" s="51"/>
      <c r="G34" s="58"/>
      <c r="H34" s="48"/>
      <c r="I34" s="58"/>
      <c r="J34" s="51"/>
      <c r="L34" s="58"/>
      <c r="N34" s="58"/>
    </row>
    <row r="35" spans="1:14">
      <c r="C35" s="51"/>
      <c r="D35" s="51"/>
      <c r="E35" s="51"/>
      <c r="F35" s="51"/>
      <c r="G35" s="51"/>
      <c r="H35" s="51"/>
      <c r="I35" s="51"/>
      <c r="J35" s="51"/>
      <c r="K35" s="42"/>
      <c r="L35" s="42"/>
      <c r="M35" s="42"/>
      <c r="N35" s="42"/>
    </row>
    <row r="36" spans="1:14">
      <c r="B36" s="43" t="s">
        <v>147</v>
      </c>
      <c r="C36" s="61">
        <f>SUM(C21:C34)</f>
        <v>0</v>
      </c>
      <c r="D36" s="44"/>
      <c r="E36" s="61">
        <f>SUM(E21:E34)</f>
        <v>0</v>
      </c>
      <c r="F36" s="44"/>
      <c r="G36" s="61">
        <f>SUM(G21:G34)</f>
        <v>0</v>
      </c>
      <c r="H36" s="44"/>
      <c r="I36" s="61">
        <f>SUM(I21:I34)</f>
        <v>0</v>
      </c>
      <c r="J36" s="44"/>
      <c r="K36" s="44"/>
      <c r="L36" s="61">
        <f>SUM(L21:L34)</f>
        <v>0</v>
      </c>
      <c r="M36" s="44"/>
      <c r="N36" s="61">
        <f>SUM(N21:N34)</f>
        <v>0</v>
      </c>
    </row>
    <row r="37" spans="1:14">
      <c r="B37" s="45"/>
      <c r="C37" s="42"/>
      <c r="E37" s="42"/>
      <c r="G37" s="42"/>
      <c r="I37" s="42"/>
      <c r="L37" s="42"/>
      <c r="N37" s="42"/>
    </row>
    <row r="38" spans="1:14">
      <c r="A38" s="43" t="s">
        <v>43</v>
      </c>
      <c r="B38" s="57" t="s">
        <v>106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4">
      <c r="B39" s="5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4">
      <c r="B40" s="43" t="s">
        <v>104</v>
      </c>
      <c r="C40" s="58"/>
      <c r="E40" s="58"/>
      <c r="F40" s="51"/>
      <c r="G40" s="58"/>
      <c r="H40" s="48"/>
      <c r="I40" s="58"/>
      <c r="J40" s="51"/>
      <c r="L40" s="58"/>
      <c r="N40" s="58"/>
    </row>
    <row r="41" spans="1:14">
      <c r="B41" s="43" t="s">
        <v>120</v>
      </c>
      <c r="C41" s="58"/>
      <c r="E41" s="58"/>
      <c r="F41" s="51"/>
      <c r="G41" s="58"/>
      <c r="H41" s="48"/>
      <c r="I41" s="58"/>
      <c r="J41" s="51"/>
      <c r="L41" s="58"/>
      <c r="N41" s="58"/>
    </row>
    <row r="42" spans="1:14">
      <c r="B42" s="43" t="s">
        <v>121</v>
      </c>
      <c r="C42" s="58"/>
      <c r="E42" s="58"/>
      <c r="F42" s="51"/>
      <c r="G42" s="58"/>
      <c r="H42" s="48"/>
      <c r="I42" s="58"/>
      <c r="J42" s="51"/>
      <c r="L42" s="58"/>
      <c r="N42" s="58"/>
    </row>
    <row r="43" spans="1:14">
      <c r="B43" s="59" t="s">
        <v>122</v>
      </c>
      <c r="C43" s="58"/>
      <c r="E43" s="58"/>
      <c r="F43" s="51"/>
      <c r="G43" s="58"/>
      <c r="H43" s="48"/>
      <c r="I43" s="58"/>
      <c r="J43" s="51"/>
      <c r="L43" s="58"/>
      <c r="N43" s="58"/>
    </row>
    <row r="44" spans="1:14">
      <c r="B44" s="43" t="s">
        <v>123</v>
      </c>
      <c r="C44" s="58"/>
      <c r="E44" s="58"/>
      <c r="F44" s="51"/>
      <c r="G44" s="58"/>
      <c r="H44" s="48"/>
      <c r="I44" s="58"/>
      <c r="J44" s="51"/>
      <c r="L44" s="58"/>
      <c r="N44" s="58"/>
    </row>
    <row r="45" spans="1:14">
      <c r="B45" s="43" t="s">
        <v>124</v>
      </c>
      <c r="C45" s="58"/>
      <c r="E45" s="58"/>
      <c r="F45" s="51"/>
      <c r="G45" s="58"/>
      <c r="H45" s="48"/>
      <c r="I45" s="58"/>
      <c r="J45" s="51"/>
      <c r="L45" s="58"/>
      <c r="N45" s="58"/>
    </row>
    <row r="46" spans="1:14">
      <c r="B46" s="43" t="s">
        <v>125</v>
      </c>
      <c r="C46" s="58"/>
      <c r="E46" s="58"/>
      <c r="F46" s="51"/>
      <c r="G46" s="58"/>
      <c r="H46" s="48"/>
      <c r="I46" s="58"/>
      <c r="J46" s="51"/>
      <c r="L46" s="58"/>
      <c r="N46" s="58"/>
    </row>
    <row r="47" spans="1:14">
      <c r="B47" s="43" t="s">
        <v>126</v>
      </c>
      <c r="C47" s="58"/>
      <c r="E47" s="58"/>
      <c r="F47" s="51"/>
      <c r="G47" s="58"/>
      <c r="H47" s="48"/>
      <c r="I47" s="58"/>
      <c r="J47" s="51"/>
      <c r="L47" s="58"/>
      <c r="N47" s="58"/>
    </row>
    <row r="48" spans="1:14">
      <c r="B48" s="43" t="s">
        <v>127</v>
      </c>
      <c r="C48" s="58"/>
      <c r="E48" s="58"/>
      <c r="F48" s="51"/>
      <c r="G48" s="58"/>
      <c r="H48" s="48"/>
      <c r="I48" s="58"/>
      <c r="J48" s="51"/>
      <c r="L48" s="58"/>
      <c r="N48" s="58"/>
    </row>
    <row r="49" spans="2:21">
      <c r="B49" s="43" t="s">
        <v>128</v>
      </c>
      <c r="C49" s="58"/>
      <c r="E49" s="58"/>
      <c r="F49" s="51"/>
      <c r="G49" s="58"/>
      <c r="H49" s="48"/>
      <c r="I49" s="58"/>
      <c r="J49" s="51"/>
      <c r="L49" s="58"/>
      <c r="N49" s="58"/>
    </row>
    <row r="50" spans="2:21">
      <c r="B50" s="43" t="s">
        <v>129</v>
      </c>
      <c r="C50" s="58"/>
      <c r="E50" s="58"/>
      <c r="F50" s="51"/>
      <c r="G50" s="58"/>
      <c r="H50" s="48"/>
      <c r="I50" s="58"/>
      <c r="J50" s="51"/>
      <c r="L50" s="58"/>
      <c r="N50" s="58"/>
    </row>
    <row r="51" spans="2:21">
      <c r="B51" s="43" t="s">
        <v>130</v>
      </c>
      <c r="C51" s="58"/>
      <c r="E51" s="58"/>
      <c r="F51" s="51"/>
      <c r="G51" s="58"/>
      <c r="H51" s="48"/>
      <c r="I51" s="58"/>
      <c r="J51" s="51"/>
      <c r="L51" s="58"/>
      <c r="N51" s="58"/>
    </row>
    <row r="52" spans="2:21">
      <c r="B52" s="43" t="s">
        <v>131</v>
      </c>
      <c r="C52" s="58"/>
      <c r="E52" s="58"/>
      <c r="F52" s="51"/>
      <c r="G52" s="58"/>
      <c r="H52" s="48"/>
      <c r="I52" s="58"/>
      <c r="J52" s="51"/>
      <c r="L52" s="58"/>
      <c r="N52" s="58"/>
    </row>
    <row r="53" spans="2:21">
      <c r="B53" s="43" t="s">
        <v>52</v>
      </c>
      <c r="C53" s="58"/>
      <c r="E53" s="58"/>
      <c r="F53" s="51"/>
      <c r="G53" s="58"/>
      <c r="H53" s="48"/>
      <c r="I53" s="58"/>
      <c r="J53" s="51"/>
      <c r="L53" s="58"/>
      <c r="N53" s="58"/>
    </row>
    <row r="54" spans="2:21">
      <c r="C54" s="51"/>
      <c r="D54" s="51"/>
      <c r="E54" s="51"/>
      <c r="F54" s="51"/>
      <c r="G54" s="51"/>
      <c r="H54" s="51"/>
      <c r="I54" s="51"/>
      <c r="J54" s="51"/>
      <c r="K54" s="42"/>
      <c r="L54" s="51"/>
      <c r="M54" s="42"/>
      <c r="N54" s="51"/>
    </row>
    <row r="55" spans="2:21">
      <c r="B55" s="43" t="s">
        <v>187</v>
      </c>
      <c r="C55" s="61">
        <f>SUM(C40:C53)</f>
        <v>0</v>
      </c>
      <c r="D55" s="44"/>
      <c r="E55" s="61">
        <f>SUM(E40:E53)</f>
        <v>0</v>
      </c>
      <c r="F55" s="44"/>
      <c r="G55" s="61">
        <f>SUM(G40:G53)</f>
        <v>0</v>
      </c>
      <c r="H55" s="44"/>
      <c r="I55" s="61">
        <f>SUM(I40:I53)</f>
        <v>0</v>
      </c>
      <c r="J55" s="44"/>
      <c r="K55" s="44"/>
      <c r="L55" s="61">
        <f>SUM(L40:L53)</f>
        <v>0</v>
      </c>
      <c r="M55" s="44"/>
      <c r="N55" s="61">
        <f>SUM(N40:N53)</f>
        <v>0</v>
      </c>
    </row>
    <row r="57" spans="2:21">
      <c r="B57" s="57"/>
      <c r="C57" s="51"/>
      <c r="D57" s="51"/>
      <c r="E57" s="51"/>
      <c r="F57" s="51"/>
      <c r="G57" s="51"/>
      <c r="H57" s="51"/>
      <c r="I57" s="51"/>
      <c r="J57" s="51"/>
      <c r="K57" s="42"/>
      <c r="L57" s="51"/>
      <c r="M57" s="42"/>
      <c r="N57" s="51"/>
    </row>
    <row r="58" spans="2:21">
      <c r="B58" s="45" t="s">
        <v>26</v>
      </c>
      <c r="C58" s="20">
        <f>C55+C36</f>
        <v>0</v>
      </c>
      <c r="D58" s="45"/>
      <c r="E58" s="20">
        <f>E55+E36</f>
        <v>0</v>
      </c>
      <c r="F58" s="45"/>
      <c r="G58" s="20">
        <f>G55+G36</f>
        <v>0</v>
      </c>
      <c r="H58" s="45"/>
      <c r="I58" s="20">
        <f>I55+I36</f>
        <v>0</v>
      </c>
      <c r="J58" s="45"/>
      <c r="K58" s="45"/>
      <c r="L58" s="20">
        <f>L55+L36</f>
        <v>0</v>
      </c>
      <c r="M58" s="45"/>
      <c r="N58" s="20">
        <f>N55+N36</f>
        <v>0</v>
      </c>
    </row>
    <row r="59" spans="2:21">
      <c r="R59" s="43" t="s">
        <v>25</v>
      </c>
      <c r="S59" s="43" t="s">
        <v>25</v>
      </c>
      <c r="T59" s="43" t="s">
        <v>25</v>
      </c>
      <c r="U59" s="43" t="s">
        <v>25</v>
      </c>
    </row>
    <row r="60" spans="2:21">
      <c r="R60" s="43" t="s">
        <v>25</v>
      </c>
      <c r="S60" s="43" t="s">
        <v>25</v>
      </c>
      <c r="T60" s="43" t="s">
        <v>25</v>
      </c>
      <c r="U60" s="43" t="s">
        <v>25</v>
      </c>
    </row>
  </sheetData>
  <sheetProtection algorithmName="SHA-512" hashValue="p0OCKyEAwiH4+qUdJIxZ2ICng3HssJ4wgaLuD3DUJAPRXBXRE8TRWHWONGlMlObHAIdV7MgEme3Fi9xtxJO8dA==" saltValue="okhRuMQuxYYuzFEdnxLxxQ==" spinCount="100000" sheet="1" selectLockedCells="1"/>
  <customSheetViews>
    <customSheetView guid="{6BAB6937-F4A7-406E-B6D7-F3AB26E9CB76}" showPageBreaks="1" showGridLines="0" printArea="1" topLeftCell="A30">
      <selection activeCell="B53" sqref="B53"/>
      <pageMargins left="0" right="0" top="0.41" bottom="0.36" header="0.17" footer="0.28000000000000003"/>
      <printOptions horizontalCentered="1"/>
      <pageSetup paperSize="9" orientation="portrait" r:id="rId1"/>
      <headerFooter alignWithMargins="0"/>
    </customSheetView>
    <customSheetView guid="{6FD7F56A-E857-4CED-A5A1-7DEC8753A8FB}" showGridLines="0" topLeftCell="A30">
      <selection activeCell="B40" sqref="B40:B53"/>
      <pageMargins left="0" right="0" top="0.41" bottom="0.36" header="0.17" footer="0.28000000000000003"/>
      <printOptions horizontalCentered="1"/>
      <pageSetup paperSize="9" orientation="portrait" r:id="rId2"/>
      <headerFooter alignWithMargins="0"/>
    </customSheetView>
    <customSheetView guid="{91D31259-BF8C-4449-A829-EAD5467CE226}" showGridLines="0" topLeftCell="A30">
      <selection activeCell="B40" sqref="B40:B53"/>
      <pageMargins left="0" right="0" top="0.41" bottom="0.36" header="0.17" footer="0.28000000000000003"/>
      <printOptions horizontalCentered="1"/>
      <pageSetup paperSize="9" orientation="portrait" r:id="rId3"/>
      <headerFooter alignWithMargins="0"/>
    </customSheetView>
  </customSheetViews>
  <dataValidations count="1">
    <dataValidation type="decimal" allowBlank="1" showInputMessage="1" showErrorMessage="1" errorTitle="Validation Error" error="Incorrect data type (numbers/decimal only)" sqref="C40:N53 C21:N34" xr:uid="{00000000-0002-0000-0700-000000000000}">
      <formula1>0</formula1>
      <formula2>9.99999999999999E+26</formula2>
    </dataValidation>
  </dataValidations>
  <printOptions horizontalCentered="1" gridLinesSet="0"/>
  <pageMargins left="0" right="0" top="0.41" bottom="0.36" header="0.17" footer="0.28000000000000003"/>
  <pageSetup paperSize="9" orientation="portrait" r:id="rId4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2:Q68"/>
  <sheetViews>
    <sheetView showGridLines="0" topLeftCell="A20" zoomScaleNormal="100" zoomScaleSheetLayoutView="80" workbookViewId="0">
      <selection activeCell="I64" sqref="I64:K64"/>
    </sheetView>
  </sheetViews>
  <sheetFormatPr defaultColWidth="9.140625" defaultRowHeight="12.75"/>
  <cols>
    <col min="1" max="1" width="2.85546875" style="9" customWidth="1"/>
    <col min="2" max="2" width="19.42578125" style="9" customWidth="1"/>
    <col min="3" max="3" width="5.85546875" style="9" customWidth="1"/>
    <col min="4" max="4" width="1.85546875" style="9" customWidth="1"/>
    <col min="5" max="5" width="15.42578125" style="9" customWidth="1"/>
    <col min="6" max="6" width="1.85546875" style="9" customWidth="1"/>
    <col min="7" max="7" width="5.85546875" style="9" customWidth="1"/>
    <col min="8" max="8" width="1.85546875" style="9" customWidth="1"/>
    <col min="9" max="9" width="11.42578125" style="9" customWidth="1"/>
    <col min="10" max="10" width="1.85546875" style="9" customWidth="1"/>
    <col min="11" max="11" width="5.85546875" style="9" customWidth="1"/>
    <col min="12" max="12" width="1.85546875" style="9" customWidth="1"/>
    <col min="13" max="13" width="9.85546875" style="9" customWidth="1"/>
    <col min="14" max="14" width="1.85546875" style="9" customWidth="1"/>
    <col min="15" max="15" width="5.85546875" style="9" customWidth="1"/>
    <col min="16" max="16" width="1.85546875" style="9" customWidth="1"/>
    <col min="17" max="17" width="9.85546875" style="9" customWidth="1"/>
    <col min="18" max="16384" width="9.140625" style="9"/>
  </cols>
  <sheetData>
    <row r="2" spans="1:17">
      <c r="A2" s="63"/>
      <c r="B2" s="21"/>
      <c r="C2" s="21"/>
      <c r="D2" s="21"/>
      <c r="E2" s="21"/>
      <c r="F2" s="21"/>
      <c r="G2" s="21"/>
      <c r="H2" s="21"/>
      <c r="I2" s="35"/>
      <c r="J2" s="35"/>
      <c r="K2" s="21"/>
      <c r="L2" s="21"/>
      <c r="M2" s="21"/>
      <c r="N2" s="21"/>
      <c r="O2" s="21"/>
      <c r="P2" s="21"/>
      <c r="Q2" s="63" t="s">
        <v>193</v>
      </c>
    </row>
    <row r="3" spans="1:17">
      <c r="A3" s="63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5.75">
      <c r="A4" s="86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1"/>
      <c r="Q4" s="21"/>
    </row>
    <row r="5" spans="1:17" ht="15.75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1"/>
      <c r="Q5" s="21"/>
    </row>
    <row r="6" spans="1:17" ht="15.75">
      <c r="A6" s="86" t="s">
        <v>99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1"/>
      <c r="Q6" s="21"/>
    </row>
    <row r="7" spans="1:17" ht="15.75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1"/>
      <c r="Q7" s="21"/>
    </row>
    <row r="8" spans="1:17" ht="15.75">
      <c r="A8" s="86" t="s">
        <v>51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</row>
    <row r="9" spans="1:17" ht="15.75">
      <c r="A9" s="84"/>
    </row>
    <row r="12" spans="1:17">
      <c r="C12" s="33" t="s">
        <v>3</v>
      </c>
      <c r="D12" s="33"/>
      <c r="E12" s="21"/>
      <c r="F12" s="33" t="s">
        <v>98</v>
      </c>
      <c r="G12" s="33"/>
      <c r="H12" s="33"/>
      <c r="I12" s="21"/>
      <c r="J12" s="21"/>
      <c r="K12" s="33" t="s">
        <v>97</v>
      </c>
      <c r="L12" s="33"/>
      <c r="M12" s="21"/>
      <c r="N12" s="21"/>
      <c r="O12" s="33" t="s">
        <v>90</v>
      </c>
      <c r="P12" s="33"/>
      <c r="Q12" s="21"/>
    </row>
    <row r="13" spans="1:17">
      <c r="A13" s="34" t="s">
        <v>4</v>
      </c>
      <c r="B13" s="32" t="s">
        <v>44</v>
      </c>
      <c r="C13" s="33" t="s">
        <v>8</v>
      </c>
      <c r="D13" s="33"/>
      <c r="E13" s="21"/>
      <c r="F13" s="33" t="s">
        <v>7</v>
      </c>
      <c r="G13" s="33"/>
      <c r="H13" s="33"/>
      <c r="I13" s="21"/>
      <c r="J13" s="21"/>
      <c r="K13" s="33" t="s">
        <v>7</v>
      </c>
      <c r="L13" s="33"/>
      <c r="M13" s="21"/>
      <c r="N13" s="21"/>
      <c r="O13" s="33" t="s">
        <v>8</v>
      </c>
      <c r="P13" s="33"/>
      <c r="Q13" s="21"/>
    </row>
    <row r="14" spans="1:17">
      <c r="C14" s="33" t="s">
        <v>82</v>
      </c>
      <c r="D14" s="33"/>
      <c r="E14" s="21"/>
      <c r="F14" s="33" t="s">
        <v>10</v>
      </c>
      <c r="G14" s="33"/>
      <c r="H14" s="33"/>
      <c r="I14" s="21"/>
      <c r="J14" s="21"/>
      <c r="K14" s="33" t="s">
        <v>10</v>
      </c>
      <c r="L14" s="33"/>
      <c r="M14" s="21"/>
      <c r="N14" s="21"/>
      <c r="O14" s="33" t="s">
        <v>11</v>
      </c>
      <c r="P14" s="33"/>
      <c r="Q14" s="21"/>
    </row>
    <row r="16" spans="1:17">
      <c r="C16" s="21" t="s">
        <v>12</v>
      </c>
      <c r="D16" s="21"/>
      <c r="E16" s="21" t="s">
        <v>13</v>
      </c>
      <c r="F16" s="21" t="s">
        <v>12</v>
      </c>
      <c r="G16" s="21"/>
      <c r="H16" s="21"/>
      <c r="I16" s="21" t="s">
        <v>13</v>
      </c>
      <c r="J16" s="21"/>
      <c r="K16" s="21" t="s">
        <v>12</v>
      </c>
      <c r="L16" s="21"/>
      <c r="M16" s="21" t="s">
        <v>13</v>
      </c>
      <c r="N16" s="21"/>
      <c r="O16" s="21" t="s">
        <v>12</v>
      </c>
      <c r="P16" s="21"/>
      <c r="Q16" s="21" t="s">
        <v>13</v>
      </c>
    </row>
    <row r="17" spans="1:17">
      <c r="C17" s="21"/>
      <c r="D17" s="21"/>
      <c r="E17" s="65" t="s">
        <v>14</v>
      </c>
      <c r="I17" s="65" t="s">
        <v>14</v>
      </c>
      <c r="J17" s="65"/>
      <c r="M17" s="65" t="s">
        <v>14</v>
      </c>
      <c r="N17" s="65"/>
      <c r="Q17" s="65" t="s">
        <v>14</v>
      </c>
    </row>
    <row r="19" spans="1:17">
      <c r="A19" s="9">
        <v>1</v>
      </c>
      <c r="B19" s="38" t="s">
        <v>114</v>
      </c>
    </row>
    <row r="20" spans="1:17">
      <c r="B20" s="38" t="s">
        <v>91</v>
      </c>
      <c r="C20" s="16"/>
      <c r="E20" s="16"/>
      <c r="G20" s="16"/>
      <c r="I20" s="16"/>
      <c r="J20" s="19"/>
      <c r="K20" s="16"/>
      <c r="M20" s="16"/>
      <c r="N20" s="19"/>
      <c r="O20" s="16"/>
      <c r="Q20" s="16"/>
    </row>
    <row r="21" spans="1:17">
      <c r="C21" s="17"/>
      <c r="E21" s="17"/>
      <c r="G21" s="17"/>
      <c r="I21" s="17"/>
      <c r="K21" s="17"/>
      <c r="M21" s="17"/>
      <c r="O21" s="17"/>
      <c r="Q21" s="17"/>
    </row>
    <row r="22" spans="1:17">
      <c r="C22" s="17"/>
      <c r="E22" s="17"/>
      <c r="G22" s="17"/>
      <c r="I22" s="17"/>
      <c r="K22" s="17"/>
      <c r="M22" s="17"/>
      <c r="O22" s="17"/>
      <c r="Q22" s="17"/>
    </row>
    <row r="23" spans="1:17">
      <c r="A23" s="9">
        <v>2</v>
      </c>
      <c r="B23" s="38" t="s">
        <v>45</v>
      </c>
      <c r="C23" s="17"/>
      <c r="E23" s="17"/>
      <c r="G23" s="17"/>
      <c r="I23" s="17"/>
      <c r="K23" s="17"/>
      <c r="M23" s="17"/>
      <c r="O23" s="17"/>
      <c r="Q23" s="17"/>
    </row>
    <row r="24" spans="1:17">
      <c r="B24" s="38" t="s">
        <v>46</v>
      </c>
      <c r="C24" s="16"/>
      <c r="E24" s="16"/>
      <c r="G24" s="16"/>
      <c r="I24" s="16"/>
      <c r="J24" s="19"/>
      <c r="K24" s="16"/>
      <c r="M24" s="16"/>
      <c r="N24" s="19"/>
      <c r="O24" s="16"/>
      <c r="Q24" s="16"/>
    </row>
    <row r="25" spans="1:17">
      <c r="C25" s="17"/>
      <c r="E25" s="17"/>
      <c r="G25" s="17"/>
      <c r="I25" s="17"/>
      <c r="K25" s="17"/>
      <c r="M25" s="17"/>
      <c r="O25" s="17"/>
      <c r="Q25" s="17"/>
    </row>
    <row r="26" spans="1:17">
      <c r="A26" s="9">
        <v>3</v>
      </c>
      <c r="B26" s="38" t="s">
        <v>47</v>
      </c>
      <c r="C26" s="17"/>
      <c r="E26" s="17"/>
      <c r="G26" s="17"/>
      <c r="I26" s="17"/>
      <c r="K26" s="17"/>
      <c r="M26" s="17"/>
      <c r="O26" s="17"/>
      <c r="Q26" s="17"/>
    </row>
    <row r="27" spans="1:17">
      <c r="B27" s="38" t="s">
        <v>48</v>
      </c>
      <c r="C27" s="16"/>
      <c r="E27" s="16"/>
      <c r="G27" s="16"/>
      <c r="I27" s="16"/>
      <c r="J27" s="19"/>
      <c r="K27" s="16"/>
      <c r="M27" s="16"/>
      <c r="N27" s="19"/>
      <c r="O27" s="16"/>
      <c r="Q27" s="16"/>
    </row>
    <row r="28" spans="1:17">
      <c r="C28" s="17"/>
      <c r="E28" s="17"/>
      <c r="G28" s="17"/>
      <c r="I28" s="17"/>
      <c r="K28" s="17"/>
      <c r="M28" s="17"/>
      <c r="O28" s="17"/>
      <c r="Q28" s="17"/>
    </row>
    <row r="29" spans="1:17" ht="15" customHeight="1">
      <c r="A29" s="9">
        <v>4</v>
      </c>
      <c r="B29" s="9" t="s">
        <v>49</v>
      </c>
      <c r="C29" s="16"/>
      <c r="E29" s="16"/>
      <c r="G29" s="16"/>
      <c r="I29" s="16"/>
      <c r="J29" s="19"/>
      <c r="K29" s="16"/>
      <c r="M29" s="16"/>
      <c r="N29" s="19"/>
      <c r="O29" s="16"/>
      <c r="Q29" s="16"/>
    </row>
    <row r="31" spans="1:17">
      <c r="B31" s="43" t="s">
        <v>83</v>
      </c>
    </row>
    <row r="32" spans="1:17">
      <c r="B32" s="43"/>
    </row>
    <row r="33" spans="1:17">
      <c r="B33" s="43" t="s">
        <v>84</v>
      </c>
    </row>
    <row r="34" spans="1:17">
      <c r="B34" s="57" t="s">
        <v>85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27" customFormat="1">
      <c r="B35" s="66" t="s">
        <v>86</v>
      </c>
      <c r="C35" s="16"/>
      <c r="D35" s="9"/>
      <c r="E35" s="16"/>
      <c r="F35" s="9"/>
      <c r="G35" s="16"/>
      <c r="H35" s="9"/>
      <c r="I35" s="16"/>
      <c r="J35" s="19"/>
      <c r="K35" s="16"/>
      <c r="L35" s="9"/>
      <c r="M35" s="16"/>
      <c r="N35" s="19"/>
      <c r="O35" s="16"/>
      <c r="P35" s="9"/>
      <c r="Q35" s="16"/>
    </row>
    <row r="36" spans="1:17">
      <c r="B36" s="57"/>
    </row>
    <row r="37" spans="1:17">
      <c r="B37" s="57"/>
    </row>
    <row r="39" spans="1:17">
      <c r="B39" s="9" t="s">
        <v>26</v>
      </c>
      <c r="C39" s="20">
        <f>SUM(C20:C29)</f>
        <v>0</v>
      </c>
      <c r="D39" s="32"/>
      <c r="E39" s="20">
        <f>SUM(E20:E29)</f>
        <v>0</v>
      </c>
      <c r="F39" s="32"/>
      <c r="G39" s="20">
        <f>SUM(G20:G29)</f>
        <v>0</v>
      </c>
      <c r="H39" s="32"/>
      <c r="I39" s="20">
        <f>SUM(I20:I29)</f>
        <v>0</v>
      </c>
      <c r="J39" s="18"/>
      <c r="K39" s="20">
        <f>SUM(K20:K29)</f>
        <v>0</v>
      </c>
      <c r="L39" s="32"/>
      <c r="M39" s="20">
        <f>SUM(M20:M29)</f>
        <v>0</v>
      </c>
      <c r="N39" s="18"/>
      <c r="O39" s="20">
        <f>SUM(O20:O29)</f>
        <v>0</v>
      </c>
      <c r="P39" s="32"/>
      <c r="Q39" s="20">
        <f>SUM(Q20:Q29)</f>
        <v>0</v>
      </c>
    </row>
    <row r="41" spans="1:17"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</row>
    <row r="42" spans="1:17">
      <c r="A42" s="34" t="s">
        <v>43</v>
      </c>
      <c r="B42" s="63" t="s">
        <v>50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7"/>
      <c r="N42" s="67"/>
      <c r="O42" s="67"/>
      <c r="P42" s="67"/>
      <c r="Q42" s="67"/>
    </row>
    <row r="45" spans="1:17">
      <c r="A45" s="9" t="s">
        <v>15</v>
      </c>
      <c r="B45" s="9" t="s">
        <v>87</v>
      </c>
      <c r="C45" s="16"/>
    </row>
    <row r="47" spans="1:17" ht="13.35" customHeight="1">
      <c r="A47" s="9" t="s">
        <v>17</v>
      </c>
      <c r="B47" s="9" t="s">
        <v>88</v>
      </c>
      <c r="C47" s="16"/>
    </row>
    <row r="48" spans="1:17" ht="13.35" customHeight="1">
      <c r="C48" s="19"/>
    </row>
    <row r="50" spans="1:15">
      <c r="A50" s="34" t="s">
        <v>69</v>
      </c>
      <c r="B50" s="63" t="s">
        <v>156</v>
      </c>
      <c r="C50" s="63"/>
      <c r="D50" s="63"/>
      <c r="E50" s="63"/>
      <c r="F50" s="63"/>
      <c r="G50" s="63"/>
      <c r="H50" s="63"/>
      <c r="I50" s="63"/>
      <c r="J50" s="63"/>
      <c r="K50" s="63"/>
    </row>
    <row r="53" spans="1:15">
      <c r="A53" s="9" t="s">
        <v>15</v>
      </c>
      <c r="B53" s="9" t="s">
        <v>87</v>
      </c>
      <c r="C53" s="68"/>
      <c r="E53" s="9" t="s">
        <v>70</v>
      </c>
      <c r="I53" s="68"/>
      <c r="K53" s="9" t="s">
        <v>71</v>
      </c>
    </row>
    <row r="55" spans="1:15">
      <c r="A55" s="9" t="s">
        <v>17</v>
      </c>
      <c r="B55" s="9" t="s">
        <v>88</v>
      </c>
      <c r="C55" s="68"/>
      <c r="E55" s="9" t="s">
        <v>70</v>
      </c>
      <c r="I55" s="68"/>
      <c r="K55" s="9" t="s">
        <v>72</v>
      </c>
    </row>
    <row r="58" spans="1:15">
      <c r="A58" s="34" t="s">
        <v>73</v>
      </c>
      <c r="B58" s="63" t="s">
        <v>101</v>
      </c>
      <c r="C58" s="63"/>
      <c r="D58" s="63"/>
      <c r="E58" s="63"/>
    </row>
    <row r="59" spans="1:15">
      <c r="A59" s="34"/>
      <c r="B59" s="63"/>
      <c r="C59" s="63"/>
      <c r="D59" s="63"/>
      <c r="E59" s="63"/>
    </row>
    <row r="60" spans="1:15" ht="14.25" customHeight="1"/>
    <row r="61" spans="1:15" ht="12.75" customHeight="1">
      <c r="I61" s="9" t="s">
        <v>107</v>
      </c>
      <c r="M61" s="19"/>
      <c r="N61" s="19"/>
      <c r="O61" s="19"/>
    </row>
    <row r="62" spans="1:15" ht="14.25" customHeight="1">
      <c r="B62" s="9" t="s">
        <v>74</v>
      </c>
      <c r="C62" s="19"/>
      <c r="E62" s="19"/>
      <c r="I62" s="198"/>
      <c r="J62" s="198"/>
      <c r="K62" s="198"/>
      <c r="M62" s="19"/>
      <c r="N62" s="19"/>
      <c r="O62" s="19"/>
    </row>
    <row r="63" spans="1:15" ht="12.75" customHeight="1">
      <c r="C63" s="19"/>
      <c r="M63" s="19"/>
      <c r="N63" s="19"/>
      <c r="O63" s="19"/>
    </row>
    <row r="64" spans="1:15" s="27" customFormat="1" ht="13.5" customHeight="1">
      <c r="B64" s="27" t="s">
        <v>102</v>
      </c>
      <c r="C64" s="29"/>
      <c r="E64" s="29"/>
      <c r="I64" s="199"/>
      <c r="J64" s="199"/>
      <c r="K64" s="199"/>
      <c r="M64" s="29"/>
      <c r="N64" s="29"/>
      <c r="O64" s="29"/>
    </row>
    <row r="65" spans="2:15">
      <c r="M65" s="19"/>
      <c r="N65" s="19"/>
      <c r="O65" s="19"/>
    </row>
    <row r="66" spans="2:15">
      <c r="B66" s="9" t="s">
        <v>75</v>
      </c>
      <c r="C66" s="19"/>
      <c r="E66" s="19"/>
      <c r="I66" s="198"/>
      <c r="J66" s="198"/>
      <c r="K66" s="198"/>
      <c r="M66" s="19"/>
      <c r="N66" s="19"/>
      <c r="O66" s="19"/>
    </row>
    <row r="67" spans="2:15">
      <c r="M67" s="19"/>
      <c r="N67" s="19"/>
      <c r="O67" s="19"/>
    </row>
    <row r="68" spans="2:15">
      <c r="M68" s="19"/>
      <c r="N68" s="19"/>
      <c r="O68" s="19"/>
    </row>
  </sheetData>
  <sheetProtection algorithmName="SHA-512" hashValue="zf+eaYkg4ct/zC1GG5X9vQ2+hDuukeVuOJQKd6Y7SmSUISV+77pQakE8taHyyEDfT/lvrvHt0PaLrlRCrlK31w==" saltValue="MdLZuTtvFsUuWsSFmyEhjA==" spinCount="100000" sheet="1" selectLockedCells="1"/>
  <customSheetViews>
    <customSheetView guid="{6BAB6937-F4A7-406E-B6D7-F3AB26E9CB76}" showPageBreaks="1" showGridLines="0" printArea="1" topLeftCell="A12">
      <selection activeCell="U22" sqref="U22"/>
      <pageMargins left="0" right="0" top="0.37" bottom="1" header="0.2" footer="0.5"/>
      <printOptions horizontalCentered="1"/>
      <pageSetup paperSize="9" scale="85" orientation="portrait" r:id="rId1"/>
      <headerFooter alignWithMargins="0"/>
    </customSheetView>
    <customSheetView guid="{6FD7F56A-E857-4CED-A5A1-7DEC8753A8FB}" showGridLines="0" topLeftCell="A12">
      <selection activeCell="U22" sqref="U22"/>
      <pageMargins left="0" right="0" top="0.37" bottom="1" header="0.2" footer="0.5"/>
      <printOptions horizontalCentered="1"/>
      <pageSetup paperSize="9" scale="85" orientation="portrait" r:id="rId2"/>
      <headerFooter alignWithMargins="0"/>
    </customSheetView>
    <customSheetView guid="{91D31259-BF8C-4449-A829-EAD5467CE226}" showGridLines="0" topLeftCell="A12">
      <selection activeCell="U22" sqref="U22"/>
      <pageMargins left="0" right="0" top="0.37" bottom="1" header="0.2" footer="0.5"/>
      <printOptions horizontalCentered="1"/>
      <pageSetup paperSize="9" scale="85" orientation="portrait" r:id="rId3"/>
      <headerFooter alignWithMargins="0"/>
    </customSheetView>
  </customSheetViews>
  <mergeCells count="3">
    <mergeCell ref="I62:K62"/>
    <mergeCell ref="I64:K64"/>
    <mergeCell ref="I66:K66"/>
  </mergeCells>
  <dataValidations count="2">
    <dataValidation type="decimal" allowBlank="1" showInputMessage="1" showErrorMessage="1" errorTitle="Validation Error" error="Incorrect data type (numers/decimal only)" sqref="C47 C45 C35:Q35 C20:Q29" xr:uid="{00000000-0002-0000-0800-000000000000}">
      <formula1>0</formula1>
      <formula2>9.99999999999999E+31</formula2>
    </dataValidation>
    <dataValidation type="decimal" allowBlank="1" showInputMessage="1" showErrorMessage="1" errorTitle="Validation Error" error="incorrect data type (number/decimal only)" sqref="I62:I66" xr:uid="{00000000-0002-0000-0800-000001000000}">
      <formula1>0</formula1>
      <formula2>9.99999999999999E+29</formula2>
    </dataValidation>
  </dataValidations>
  <printOptions horizontalCentered="1" gridLinesSet="0"/>
  <pageMargins left="0" right="0" top="0.37" bottom="1" header="0.2" footer="0.5"/>
  <pageSetup paperSize="9" scale="85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17</vt:i4>
      </vt:variant>
    </vt:vector>
  </HeadingPairs>
  <TitlesOfParts>
    <vt:vector size="30" baseType="lpstr">
      <vt:lpstr>COVER PAGE</vt:lpstr>
      <vt:lpstr>General Instructions</vt:lpstr>
      <vt:lpstr>CBTT Validations</vt:lpstr>
      <vt:lpstr>PAGE1</vt:lpstr>
      <vt:lpstr>PAGE2</vt:lpstr>
      <vt:lpstr>PAGE3</vt:lpstr>
      <vt:lpstr>PAGE4 </vt:lpstr>
      <vt:lpstr>PAGE5</vt:lpstr>
      <vt:lpstr>PAGE6</vt:lpstr>
      <vt:lpstr>PAGE7</vt:lpstr>
      <vt:lpstr>PAGE8</vt:lpstr>
      <vt:lpstr>PAGE9</vt:lpstr>
      <vt:lpstr>PAGE10</vt:lpstr>
      <vt:lpstr>Institution</vt:lpstr>
      <vt:lpstr>Name</vt:lpstr>
      <vt:lpstr>'COVER PAGE'!Print_Area</vt:lpstr>
      <vt:lpstr>PAGE1!Print_Area</vt:lpstr>
      <vt:lpstr>PAGE10!Print_Area</vt:lpstr>
      <vt:lpstr>PAGE2!Print_Area</vt:lpstr>
      <vt:lpstr>PAGE3!Print_Area</vt:lpstr>
      <vt:lpstr>'PAGE4 '!Print_Area</vt:lpstr>
      <vt:lpstr>PAGE5!Print_Area</vt:lpstr>
      <vt:lpstr>PAGE6!Print_Area</vt:lpstr>
      <vt:lpstr>PAGE7!Print_Area</vt:lpstr>
      <vt:lpstr>PAGE8!Print_Area</vt:lpstr>
      <vt:lpstr>PAGE9!Print_Area</vt:lpstr>
      <vt:lpstr>PAGE1!Print_Titles</vt:lpstr>
      <vt:lpstr>PAGE2!Print_Titles</vt:lpstr>
      <vt:lpstr>PAGE5!Print_Titles</vt:lpstr>
      <vt:lpstr>PAGE6!Print_Titles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 Ann Persad</dc:creator>
  <cp:lastModifiedBy>cloudconvert_19</cp:lastModifiedBy>
  <cp:lastPrinted>2023-09-21T18:56:41Z</cp:lastPrinted>
  <dcterms:created xsi:type="dcterms:W3CDTF">2000-10-25T16:50:36Z</dcterms:created>
  <dcterms:modified xsi:type="dcterms:W3CDTF">2025-03-24T19:55:04Z</dcterms:modified>
</cp:coreProperties>
</file>