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loudconvert\server\files\tasks\ec8729ac-bf30-4a42-8e24-6d00a4b65631\"/>
    </mc:Choice>
  </mc:AlternateContent>
  <xr:revisionPtr revIDLastSave="0" documentId="8_{D7C1AE02-2695-4ADB-BD5A-2C5DE7C556C1}" xr6:coauthVersionLast="47" xr6:coauthVersionMax="47" xr10:uidLastSave="{00000000-0000-0000-0000-000000000000}"/>
  <workbookProtection workbookAlgorithmName="SHA-512" workbookHashValue="Xyt5ZNDBeSFXvQYiQqMjOfctpF0rMaIbvU/r2OT+lXsrPvNrZzxp0zCpbqiKeSqpAlzngkixatu6JOVNWzvHnQ==" workbookSaltValue="4mffPkwwNAkJHXFExKRrKA==" workbookSpinCount="100000" lockStructure="1"/>
  <bookViews>
    <workbookView xWindow="-120" yWindow="-120" windowWidth="15600" windowHeight="11160" tabRatio="899" xr2:uid="{00000000-000D-0000-FFFF-FFFF00000000}"/>
  </bookViews>
  <sheets>
    <sheet name="COVER PAGE" sheetId="18" r:id="rId1"/>
    <sheet name="General Instructions" sheetId="20" r:id="rId2"/>
    <sheet name="CB30ASCL" sheetId="17" state="veryHidden" r:id="rId3"/>
    <sheet name="CB30ASCL2" sheetId="21" state="veryHidden" r:id="rId4"/>
    <sheet name="CBTT VALIDATION" sheetId="22" r:id="rId5"/>
    <sheet name="PAGE1" sheetId="1" r:id="rId6"/>
    <sheet name="PAGE2" sheetId="2" r:id="rId7"/>
    <sheet name="PAGE3" sheetId="3" r:id="rId8"/>
    <sheet name="PAGE4" sheetId="4" r:id="rId9"/>
    <sheet name="PAGE5" sheetId="5" r:id="rId10"/>
    <sheet name="PAGE6" sheetId="6" r:id="rId11"/>
    <sheet name="PAGE7" sheetId="7" r:id="rId12"/>
    <sheet name="PAGE8" sheetId="8" r:id="rId13"/>
    <sheet name="PAGE9" sheetId="9" r:id="rId14"/>
    <sheet name="PAGE10" sheetId="11" r:id="rId15"/>
    <sheet name="PAGE11" sheetId="10" r:id="rId16"/>
    <sheet name="PAGE12" sheetId="13" r:id="rId17"/>
    <sheet name="PAGE13" sheetId="12" r:id="rId18"/>
    <sheet name="PAGE14" sheetId="15" r:id="rId19"/>
    <sheet name="PAGE15" sheetId="16" r:id="rId20"/>
    <sheet name="PAGE16" sheetId="14" r:id="rId21"/>
    <sheet name="Controls" sheetId="19" state="veryHidden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CCOUNTS_REVEIVABLE_FINANCING_1402">[1]PG_18!#REF!</definedName>
    <definedName name="BLOCK_DISCOUNTING_140203">[1]PG_18!#REF!</definedName>
    <definedName name="BRIDGING_FINANCE_140301">[1]PG_18!#REF!</definedName>
    <definedName name="CENTRAL_GOVERNMENT_14010101">[1]PG_18!#REF!</definedName>
    <definedName name="CENTRAL_GOVERNMENT_14010201">[1]PG_18!#REF!</definedName>
    <definedName name="CENTRAL_GOVERNMENT_14010301">[1]PG_18!#REF!</definedName>
    <definedName name="CENTRAL_GOVERNMENT_14010401">[1]PG_18!#REF!</definedName>
    <definedName name="CENTRAL_GOVERNMENT_14010501">[1]PG_18!#REF!</definedName>
    <definedName name="CENTRAL_GOVERNMENT_14020101">[1]PG_18!#REF!</definedName>
    <definedName name="CENTRAL_GOVERNMENT_14020201">[1]PG_18!#REF!</definedName>
    <definedName name="CENTRAL_GOVERNMENT_14020301">[1]PG_18!#REF!</definedName>
    <definedName name="CENTRAL_GOVERNMENT_14030101">[1]PG_18!#REF!</definedName>
    <definedName name="Codes">#REF!</definedName>
    <definedName name="COMMERCIAL_BANKS_14010105">[1]PG_18!#REF!</definedName>
    <definedName name="COMMERCIAL_BANKS_14010205">[1]PG_18!#REF!</definedName>
    <definedName name="COMMERCIAL_BANKS_14010305">[1]PG_18!#REF!</definedName>
    <definedName name="COMMERCIAL_BANKS_14010405">[1]PG_18!#REF!</definedName>
    <definedName name="COMMERCIAL_BANKS_14010505">[1]PG_18!#REF!</definedName>
    <definedName name="COMMERCIAL_BANKS_14020105">[1]PG_18!#REF!</definedName>
    <definedName name="COMMERCIAL_BANKS_14020205">[1]PG_18!#REF!</definedName>
    <definedName name="COMMERCIAL_BANKS_14020305">[1]PG_18!#REF!</definedName>
    <definedName name="COMMERCIAL_BANKS_14030105">[1]PG_18!#REF!</definedName>
    <definedName name="CONSUMERS_14010110">[1]PG_18!#REF!</definedName>
    <definedName name="CONSUMERS_14010210">[1]PG_18!#REF!</definedName>
    <definedName name="CONSUMERS_14010310">[1]PG_18!#REF!</definedName>
    <definedName name="CONSUMERS_14010410">[1]PG_18!#REF!</definedName>
    <definedName name="CONSUMERS_14010510">[1]PG_18!#REF!</definedName>
    <definedName name="CONSUMERS_14020110">[1]PG_18!#REF!</definedName>
    <definedName name="CONSUMERS_14020210">[1]PG_18!#REF!</definedName>
    <definedName name="CONSUMERS_14020310">[1]PG_18!#REF!</definedName>
    <definedName name="DATEQ">[2]Controls!$D$8:$D$60</definedName>
    <definedName name="DEMAND_140102">[1]PG_18!#REF!</definedName>
    <definedName name="DISCOUNTS_140105">[1]PG_18!#REF!</definedName>
    <definedName name="dot">"."</definedName>
    <definedName name="FACTORING_140201">[1]PG_18!#REF!</definedName>
    <definedName name="INCORPORATED_BUSINESS_14010108">[1]PG_18!#REF!</definedName>
    <definedName name="INCORPORATED_BUSINESS_14010208">[1]PG_18!#REF!</definedName>
    <definedName name="INCORPORATED_BUSINESS_14010308">[1]PG_18!#REF!</definedName>
    <definedName name="INCORPORATED_BUSINESS_14010408">[1]PG_18!#REF!</definedName>
    <definedName name="INCORPORATED_BUSINESS_14010508">[1]PG_18!#REF!</definedName>
    <definedName name="INCORPORATED_BUSINESS_14020108">[1]PG_18!#REF!</definedName>
    <definedName name="INCORPORATED_BUSINESS_14020208">[1]PG_18!#REF!</definedName>
    <definedName name="INCORPORATED_BUSINESS_14020308">[1]PG_18!#REF!</definedName>
    <definedName name="INSTALMENT_140104">[1]PG_18!#REF!</definedName>
    <definedName name="Institution" localSheetId="3">#REF!</definedName>
    <definedName name="Institution" localSheetId="4">#REF!</definedName>
    <definedName name="institution">#REF!</definedName>
    <definedName name="Institutions" localSheetId="4">[3]Controls!$B$7:$B$32</definedName>
    <definedName name="Institutions" localSheetId="1">[4]Codes!$C$1:$C$13</definedName>
    <definedName name="Institutions">[2]Controls!$B$7:$B$32</definedName>
    <definedName name="LOANS_14">[1]PG_18!#REF!</definedName>
    <definedName name="LOANS_ADVANCES___DISCOUNTS_1401">[1]PG_18!#REF!</definedName>
    <definedName name="LOCAL_GOVERNMENT_14010102">[1]PG_18!#REF!</definedName>
    <definedName name="LOCAL_GOVERNMENT_14010202">[1]PG_18!#REF!</definedName>
    <definedName name="LOCAL_GOVERNMENT_14010302">[1]PG_18!#REF!</definedName>
    <definedName name="LOCAL_GOVERNMENT_14010402">[1]PG_18!#REF!</definedName>
    <definedName name="LOCAL_GOVERNMENT_14010502">[1]PG_18!#REF!</definedName>
    <definedName name="LOCAL_GOVERNMENT_14020102">[1]PG_18!#REF!</definedName>
    <definedName name="LOCAL_GOVERNMENT_14020202">[1]PG_18!#REF!</definedName>
    <definedName name="LOCAL_GOVERNMENT_14020302">[1]PG_18!#REF!</definedName>
    <definedName name="LOCAL_GOVERNMENT_14030102">[1]PG_18!#REF!</definedName>
    <definedName name="months">[1]Institution_Codes!$D$2:$D$13</definedName>
    <definedName name="Name" localSheetId="3">[5]PAGE1!$C$11</definedName>
    <definedName name="Name" localSheetId="4">[5]PAGE1!$C$11</definedName>
    <definedName name="Name">[4]Cover!$A$6</definedName>
    <definedName name="NON_FINANCIAL_STATE_ENTERPRISES_14010107">[1]PG_18!#REF!</definedName>
    <definedName name="NON_FINANCIAL_STATE_ENTERPRISES_14010207">[1]PG_18!#REF!</definedName>
    <definedName name="NON_FINANCIAL_STATE_ENTERPRISES_14010307">[1]PG_18!#REF!</definedName>
    <definedName name="NON_FINANCIAL_STATE_ENTERPRISES_14010407">[1]PG_18!#REF!</definedName>
    <definedName name="NON_FINANCIAL_STATE_ENTERPRISES_14010507">[1]PG_18!#REF!</definedName>
    <definedName name="NON_FINANCIAL_STATE_ENTERPRISES_14020107">[1]PG_18!#REF!</definedName>
    <definedName name="NON_FINANCIAL_STATE_ENTERPRISES_14020207">[1]PG_18!#REF!</definedName>
    <definedName name="NON_FINANCIAL_STATE_ENTERPRISES_14020307">[1]PG_18!#REF!</definedName>
    <definedName name="OTHER_PRIVATE_FIN_INST_14010106">[1]PG_18!#REF!</definedName>
    <definedName name="OTHER_PRIVATE_FIN_INST_14010206">[1]PG_18!#REF!</definedName>
    <definedName name="OTHER_PRIVATE_FIN_INST_14010306">[1]PG_18!#REF!</definedName>
    <definedName name="OTHER_PRIVATE_FIN_INST_14010406">[1]PG_18!#REF!</definedName>
    <definedName name="OTHER_PRIVATE_FIN_INST_14010506">[1]PG_18!#REF!</definedName>
    <definedName name="OTHER_PRIVATE_FIN_INST_14020106">[1]PG_18!#REF!</definedName>
    <definedName name="OTHER_PRIVATE_FIN_INST_14020206">[1]PG_18!#REF!</definedName>
    <definedName name="OTHER_PRIVATE_FIN_INST_14020306">[1]PG_18!#REF!</definedName>
    <definedName name="OVERDRAFT_140101">[1]PG_18!#REF!</definedName>
    <definedName name="Periods">#REF!</definedName>
    <definedName name="Plans">[6]Codes!$C$1:$C$266</definedName>
    <definedName name="_xlnm.Print_Area" localSheetId="4">'CBTT VALIDATION'!$A$1:$C$236</definedName>
    <definedName name="_xlnm.Print_Area" localSheetId="0">'COVER PAGE'!$A$1:$L$15</definedName>
    <definedName name="_xlnm.Print_Area" localSheetId="1">'General Instructions'!$A$1:$B$29</definedName>
    <definedName name="_xlnm.Print_Area" localSheetId="5">PAGE1!$A$1:$R$56</definedName>
    <definedName name="_xlnm.Print_Area" localSheetId="14">PAGE10!$A$1:$J$74</definedName>
    <definedName name="_xlnm.Print_Area" localSheetId="15">PAGE11!$A$1:$K$72</definedName>
    <definedName name="_xlnm.Print_Area" localSheetId="16">PAGE12!$A$1:$L$74</definedName>
    <definedName name="_xlnm.Print_Area" localSheetId="17">PAGE13!$A$1:$K$56</definedName>
    <definedName name="_xlnm.Print_Area" localSheetId="18">PAGE14!$A$1:$J$52</definedName>
    <definedName name="_xlnm.Print_Area" localSheetId="19">PAGE15!$A$1:$K$55</definedName>
    <definedName name="_xlnm.Print_Area" localSheetId="20">PAGE16!$A$1:$L$94</definedName>
    <definedName name="_xlnm.Print_Area" localSheetId="6">PAGE2!$A$1:$R$51</definedName>
    <definedName name="_xlnm.Print_Area" localSheetId="7">PAGE3!$A$1:$Q$57</definedName>
    <definedName name="_xlnm.Print_Area" localSheetId="8">PAGE4!$A$1:$R$78</definedName>
    <definedName name="_xlnm.Print_Area" localSheetId="9">PAGE5!$A$1:$R$68</definedName>
    <definedName name="_xlnm.Print_Area" localSheetId="10">PAGE6!$A$1:$S$57</definedName>
    <definedName name="_xlnm.Print_Area" localSheetId="11">PAGE7!$A$1:$N$63</definedName>
    <definedName name="_xlnm.Print_Area" localSheetId="12">PAGE8!$A$1:$L$62</definedName>
    <definedName name="_xlnm.Print_Area" localSheetId="13">PAGE9!$A$1:$L$55</definedName>
    <definedName name="REAL_ESTATE_LOANS_1403">[1]PG_18!#REF!</definedName>
    <definedName name="sect1.1">#REF!</definedName>
    <definedName name="sect1.2">#REF!</definedName>
    <definedName name="sect1.3">#REF!</definedName>
    <definedName name="sect10.1">#REF!</definedName>
    <definedName name="sect10.2">#REF!</definedName>
    <definedName name="sect10.3">#REF!</definedName>
    <definedName name="sect10.4">#REF!</definedName>
    <definedName name="sect11.1">#REF!</definedName>
    <definedName name="sect11.2">#REF!</definedName>
    <definedName name="sect11.3">#REF!</definedName>
    <definedName name="sect11.4">#REF!</definedName>
    <definedName name="sect11.5">#REF!</definedName>
    <definedName name="sect12.1">#REF!</definedName>
    <definedName name="sect12.2">#REF!</definedName>
    <definedName name="sect12.3">#REF!</definedName>
    <definedName name="sect12.4">#REF!</definedName>
    <definedName name="sect13.1">#REF!</definedName>
    <definedName name="sect13.2">#REF!</definedName>
    <definedName name="sect13.3">#REF!</definedName>
    <definedName name="sect13.4">#REF!</definedName>
    <definedName name="sect13.5">#REF!</definedName>
    <definedName name="sect14.1">#REF!</definedName>
    <definedName name="sect14.2">#REF!</definedName>
    <definedName name="sect14.3">#REF!</definedName>
    <definedName name="sect14.4">#REF!</definedName>
    <definedName name="sect15.1">#REF!</definedName>
    <definedName name="sect16.1">#REF!</definedName>
    <definedName name="sect16.2">#REF!</definedName>
    <definedName name="sect16.3">#REF!</definedName>
    <definedName name="sect17.1">#REF!</definedName>
    <definedName name="sect17.2">#REF!</definedName>
    <definedName name="sect17.3">#REF!</definedName>
    <definedName name="sect17.4">#REF!</definedName>
    <definedName name="sect18.1">#REF!</definedName>
    <definedName name="sect18.2">#REF!</definedName>
    <definedName name="sect18.3">#REF!</definedName>
    <definedName name="sect18.4">#REF!</definedName>
    <definedName name="sect18.5">#REF!</definedName>
    <definedName name="sect19.1">#REF!</definedName>
    <definedName name="sect19.2">#REF!</definedName>
    <definedName name="sect19.3">#REF!</definedName>
    <definedName name="sect19.4">#REF!</definedName>
    <definedName name="sect2.1">#REF!</definedName>
    <definedName name="sect2.2">#REF!</definedName>
    <definedName name="sect2.3">#REF!</definedName>
    <definedName name="sect2.4">#REF!</definedName>
    <definedName name="sect20.1">#REF!</definedName>
    <definedName name="sect20.2">#REF!</definedName>
    <definedName name="sect20.3">#REF!</definedName>
    <definedName name="sect20.4">#REF!</definedName>
    <definedName name="sect20.5">#REF!</definedName>
    <definedName name="sect21.1">#REF!</definedName>
    <definedName name="sect21.2">#REF!</definedName>
    <definedName name="sect21.3">#REF!</definedName>
    <definedName name="sect21.4">#REF!</definedName>
    <definedName name="sect22.1">#REF!</definedName>
    <definedName name="sect22.2">#REF!</definedName>
    <definedName name="sect23.1">#REF!</definedName>
    <definedName name="sect23.2">#REF!</definedName>
    <definedName name="sect23.3">#REF!</definedName>
    <definedName name="sect23.4">#REF!</definedName>
    <definedName name="sect23.5">#REF!</definedName>
    <definedName name="sect23.6">#REF!</definedName>
    <definedName name="sect24.1">#REF!</definedName>
    <definedName name="sect24.2">#REF!</definedName>
    <definedName name="sect24.3">#REF!</definedName>
    <definedName name="sect25.1">#REF!</definedName>
    <definedName name="sect25.2">#REF!</definedName>
    <definedName name="sect25.3">#REF!</definedName>
    <definedName name="sect25.4">#REF!</definedName>
    <definedName name="sect26.1">#REF!</definedName>
    <definedName name="sect27.1">#REF!</definedName>
    <definedName name="sect27.2">#REF!</definedName>
    <definedName name="sect27.3">#REF!</definedName>
    <definedName name="sect27.4">#REF!</definedName>
    <definedName name="sect28.1">#REF!</definedName>
    <definedName name="sect28.2">#REF!</definedName>
    <definedName name="sect29.1">#REF!</definedName>
    <definedName name="sect29.2">#REF!</definedName>
    <definedName name="sect29.3">#REF!</definedName>
    <definedName name="sect3.1">#REF!</definedName>
    <definedName name="sect3.2">#REF!</definedName>
    <definedName name="sect3.3">#REF!</definedName>
    <definedName name="sect30.1">#REF!</definedName>
    <definedName name="sect30.2">#REF!</definedName>
    <definedName name="sect30.3">#REF!</definedName>
    <definedName name="sect30.4">#REF!</definedName>
    <definedName name="sect31.1">#REF!</definedName>
    <definedName name="sect31.2">#REF!</definedName>
    <definedName name="sect32.1">#REF!</definedName>
    <definedName name="sect32.2">#REF!</definedName>
    <definedName name="sect32.3">#REF!</definedName>
    <definedName name="sect33.1">#REF!</definedName>
    <definedName name="sect33.2">#REF!</definedName>
    <definedName name="sect33.3">#REF!</definedName>
    <definedName name="sect33.4">#REF!</definedName>
    <definedName name="sect34.1">#REF!</definedName>
    <definedName name="sect34.2">#REF!</definedName>
    <definedName name="sect35.1">#REF!</definedName>
    <definedName name="sect35.2">#REF!</definedName>
    <definedName name="sect35.3">#REF!</definedName>
    <definedName name="sect36.1">#REF!</definedName>
    <definedName name="sect36.2">#REF!</definedName>
    <definedName name="sect36.3">#REF!</definedName>
    <definedName name="sect36.4">#REF!</definedName>
    <definedName name="sect36.5">#REF!</definedName>
    <definedName name="sect37.1">#REF!</definedName>
    <definedName name="sect37.2">#REF!</definedName>
    <definedName name="sect38.1">#REF!</definedName>
    <definedName name="sect38.2">#REF!</definedName>
    <definedName name="sect38.3">#REF!</definedName>
    <definedName name="sect39.1">#REF!</definedName>
    <definedName name="sect39.2">#REF!</definedName>
    <definedName name="sect39.3">#REF!</definedName>
    <definedName name="sect39.4">#REF!</definedName>
    <definedName name="sect39.5">#REF!</definedName>
    <definedName name="sect4.1">#REF!</definedName>
    <definedName name="sect4.2">#REF!</definedName>
    <definedName name="sect4.3">#REF!</definedName>
    <definedName name="sect4.4">#REF!</definedName>
    <definedName name="sect5.1">#REF!</definedName>
    <definedName name="sect6.1">#REF!</definedName>
    <definedName name="sect6.2">#REF!</definedName>
    <definedName name="sect6.3">#REF!</definedName>
    <definedName name="sect6.4">#REF!</definedName>
    <definedName name="sect7.1">#REF!</definedName>
    <definedName name="sect7.2">#REF!</definedName>
    <definedName name="sect7.3">#REF!</definedName>
    <definedName name="sect7.4">#REF!</definedName>
    <definedName name="sect7.5">#REF!</definedName>
    <definedName name="sect8.1">#REF!</definedName>
    <definedName name="sect8.2">#REF!</definedName>
    <definedName name="sect8.3">#REF!</definedName>
    <definedName name="sect8.4">#REF!</definedName>
    <definedName name="sect9.1">#REF!</definedName>
    <definedName name="sect9.2">#REF!</definedName>
    <definedName name="sect9.3">#REF!</definedName>
    <definedName name="sect9.4">#REF!</definedName>
    <definedName name="sect9.5">#REF!</definedName>
    <definedName name="SELECT_INSTITUTION_CODE">[1]Institution_Codes!#REF!</definedName>
    <definedName name="STATE_OWNED_FIN_INST_14010104">[1]PG_18!#REF!</definedName>
    <definedName name="STATE_OWNED_FIN_INST_14010204">[1]PG_18!#REF!</definedName>
    <definedName name="STATE_OWNED_FIN_INST_14010304">[1]PG_18!#REF!</definedName>
    <definedName name="STATE_OWNED_FIN_INST_14010404">[1]PG_18!#REF!</definedName>
    <definedName name="STATE_OWNED_FIN_INST_14010504">[1]PG_18!#REF!</definedName>
    <definedName name="STATE_OWNED_FIN_INST_14020104">[1]PG_18!#REF!</definedName>
    <definedName name="STATE_OWNED_FIN_INST_14020204">[1]PG_18!#REF!</definedName>
    <definedName name="STATE_OWNED_FIN_INST_14020304">[1]PG_18!#REF!</definedName>
    <definedName name="STATE_OWNED_FIN_INST_14030104">[1]PG_18!#REF!</definedName>
    <definedName name="STATUTORY_BOARDS_14010103">[1]PG_18!#REF!</definedName>
    <definedName name="STATUTORY_BOARDS_14010203">[1]PG_18!#REF!</definedName>
    <definedName name="STATUTORY_BOARDS_14010303">[1]PG_18!#REF!</definedName>
    <definedName name="STATUTORY_BOARDS_14010403">[1]PG_18!#REF!</definedName>
    <definedName name="STATUTORY_BOARDS_14010503">[1]PG_18!#REF!</definedName>
    <definedName name="STATUTORY_BOARDS_14020103">[1]PG_18!#REF!</definedName>
    <definedName name="STATUTORY_BOARDS_14020203">[1]PG_18!#REF!</definedName>
    <definedName name="STATUTORY_BOARDS_14020303">[1]PG_18!#REF!</definedName>
    <definedName name="STATUTORY_BOARDS_14030103">[1]PG_18!#REF!</definedName>
    <definedName name="TIME_140103">[1]PG_18!#REF!</definedName>
    <definedName name="TRADE_CONFIRMING_140202">[1]PG_18!#REF!</definedName>
    <definedName name="UNINCORPORATED_BUSINESS_14010109">[1]PG_18!#REF!</definedName>
    <definedName name="UNINCORPORATED_BUSINESS_14010209">[1]PG_18!#REF!</definedName>
    <definedName name="UNINCORPORATED_BUSINESS_14010309">[1]PG_18!#REF!</definedName>
    <definedName name="UNINCORPORATED_BUSINESS_14010409">[1]PG_18!#REF!</definedName>
    <definedName name="UNINCORPORATED_BUSINESS_14010509">[1]PG_18!#REF!</definedName>
    <definedName name="UNINCORPORATED_BUSINESS_14020109">[1]PG_18!#REF!</definedName>
    <definedName name="UNINCORPORATED_BUSINESS_14020209">[1]PG_18!#REF!</definedName>
    <definedName name="UNINCORPORATED_BUSINESS_14020309">[1]PG_18!#REF!</definedName>
    <definedName name="Year">[1]Institution_Codes!$H$2:$H$52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0" l="1"/>
  <c r="B28" i="20" l="1"/>
  <c r="B1" i="22" l="1"/>
  <c r="C1" i="22" l="1"/>
  <c r="D65" i="11"/>
  <c r="F62" i="7"/>
  <c r="P23" i="3"/>
  <c r="D525" i="17" l="1"/>
  <c r="D524" i="17"/>
  <c r="D491" i="17"/>
  <c r="D472" i="17"/>
  <c r="D471" i="17"/>
  <c r="G292" i="17"/>
  <c r="G291" i="17"/>
  <c r="G290" i="17"/>
  <c r="F292" i="17"/>
  <c r="F291" i="17"/>
  <c r="F290" i="17"/>
  <c r="E292" i="17"/>
  <c r="E291" i="17"/>
  <c r="E290" i="17"/>
  <c r="D292" i="17"/>
  <c r="D291" i="17"/>
  <c r="D290" i="17"/>
  <c r="D95" i="17"/>
  <c r="D94" i="17"/>
  <c r="D93" i="17"/>
  <c r="D92" i="17"/>
  <c r="B548" i="17"/>
  <c r="B547" i="17"/>
  <c r="B546" i="17"/>
  <c r="B545" i="17"/>
  <c r="B544" i="17"/>
  <c r="B543" i="17"/>
  <c r="B542" i="17"/>
  <c r="B540" i="17"/>
  <c r="B539" i="17"/>
  <c r="B538" i="17"/>
  <c r="B537" i="17"/>
  <c r="B536" i="17"/>
  <c r="B534" i="17"/>
  <c r="B533" i="17"/>
  <c r="B532" i="17"/>
  <c r="B531" i="17"/>
  <c r="B530" i="17"/>
  <c r="B529" i="17"/>
  <c r="B528" i="17"/>
  <c r="B527" i="17"/>
  <c r="C525" i="17"/>
  <c r="B525" i="17"/>
  <c r="C524" i="17"/>
  <c r="B524" i="17"/>
  <c r="C522" i="17"/>
  <c r="B522" i="17"/>
  <c r="C521" i="17"/>
  <c r="B521" i="17"/>
  <c r="C520" i="17"/>
  <c r="B520" i="17"/>
  <c r="C519" i="17"/>
  <c r="B519" i="17"/>
  <c r="C518" i="17"/>
  <c r="B518" i="17"/>
  <c r="C517" i="17"/>
  <c r="B517" i="17"/>
  <c r="C516" i="17"/>
  <c r="B516" i="17"/>
  <c r="C515" i="17"/>
  <c r="B515" i="17"/>
  <c r="C514" i="17"/>
  <c r="B514" i="17"/>
  <c r="C513" i="17"/>
  <c r="B513" i="17"/>
  <c r="C512" i="17"/>
  <c r="B512" i="17"/>
  <c r="C511" i="17"/>
  <c r="B511" i="17"/>
  <c r="C510" i="17"/>
  <c r="B510" i="17"/>
  <c r="C509" i="17"/>
  <c r="B509" i="17"/>
  <c r="C508" i="17"/>
  <c r="B508" i="17"/>
  <c r="C507" i="17"/>
  <c r="B507" i="17"/>
  <c r="C506" i="17"/>
  <c r="B506" i="17"/>
  <c r="C505" i="17"/>
  <c r="B505" i="17"/>
  <c r="C504" i="17"/>
  <c r="B504" i="17"/>
  <c r="C503" i="17"/>
  <c r="B503" i="17"/>
  <c r="C502" i="17"/>
  <c r="B502" i="17"/>
  <c r="C501" i="17"/>
  <c r="B501" i="17"/>
  <c r="C500" i="17"/>
  <c r="B500" i="17"/>
  <c r="C499" i="17"/>
  <c r="B499" i="17"/>
  <c r="C498" i="17"/>
  <c r="B498" i="17"/>
  <c r="C497" i="17"/>
  <c r="B497" i="17"/>
  <c r="C496" i="17"/>
  <c r="B496" i="17"/>
  <c r="C495" i="17"/>
  <c r="B495" i="17"/>
  <c r="C494" i="17"/>
  <c r="B494" i="17"/>
  <c r="C493" i="17"/>
  <c r="B493" i="17"/>
  <c r="C491" i="17"/>
  <c r="B491" i="17"/>
  <c r="C489" i="17"/>
  <c r="B489" i="17"/>
  <c r="C488" i="17"/>
  <c r="B488" i="17"/>
  <c r="C487" i="17"/>
  <c r="B487" i="17"/>
  <c r="C486" i="17"/>
  <c r="B486" i="17"/>
  <c r="C485" i="17"/>
  <c r="B485" i="17"/>
  <c r="C484" i="17"/>
  <c r="B484" i="17"/>
  <c r="C483" i="17"/>
  <c r="B483" i="17"/>
  <c r="C482" i="17"/>
  <c r="B482" i="17"/>
  <c r="C481" i="17"/>
  <c r="B481" i="17"/>
  <c r="C480" i="17"/>
  <c r="B480" i="17"/>
  <c r="C479" i="17"/>
  <c r="B479" i="17"/>
  <c r="C478" i="17"/>
  <c r="B478" i="17"/>
  <c r="C477" i="17"/>
  <c r="B477" i="17"/>
  <c r="C476" i="17"/>
  <c r="B476" i="17"/>
  <c r="C475" i="17"/>
  <c r="B475" i="17"/>
  <c r="C474" i="17"/>
  <c r="B474" i="17"/>
  <c r="C472" i="17"/>
  <c r="B472" i="17"/>
  <c r="C471" i="17"/>
  <c r="B471" i="17"/>
  <c r="C469" i="17"/>
  <c r="B469" i="17"/>
  <c r="C468" i="17"/>
  <c r="B468" i="17"/>
  <c r="C467" i="17"/>
  <c r="B467" i="17"/>
  <c r="C466" i="17"/>
  <c r="B466" i="17"/>
  <c r="C465" i="17"/>
  <c r="B465" i="17"/>
  <c r="C464" i="17"/>
  <c r="B464" i="17"/>
  <c r="C463" i="17"/>
  <c r="B463" i="17"/>
  <c r="C462" i="17"/>
  <c r="B462" i="17"/>
  <c r="C461" i="17"/>
  <c r="B461" i="17"/>
  <c r="C460" i="17"/>
  <c r="B460" i="17"/>
  <c r="C459" i="17"/>
  <c r="B459" i="17"/>
  <c r="C458" i="17"/>
  <c r="B458" i="17"/>
  <c r="C457" i="17"/>
  <c r="B457" i="17"/>
  <c r="C456" i="17"/>
  <c r="B456" i="17"/>
  <c r="C455" i="17"/>
  <c r="B455" i="17"/>
  <c r="C454" i="17"/>
  <c r="B454" i="17"/>
  <c r="C453" i="17"/>
  <c r="B453" i="17"/>
  <c r="C452" i="17"/>
  <c r="B452" i="17"/>
  <c r="C451" i="17"/>
  <c r="B451" i="17"/>
  <c r="C450" i="17"/>
  <c r="B450" i="17"/>
  <c r="C449" i="17"/>
  <c r="B449" i="17"/>
  <c r="C448" i="17"/>
  <c r="B448" i="17"/>
  <c r="C447" i="17"/>
  <c r="B447" i="17"/>
  <c r="C446" i="17"/>
  <c r="B446" i="17"/>
  <c r="C445" i="17"/>
  <c r="B445" i="17"/>
  <c r="C444" i="17"/>
  <c r="B444" i="17"/>
  <c r="C443" i="17"/>
  <c r="B443" i="17"/>
  <c r="C442" i="17"/>
  <c r="B442" i="17"/>
  <c r="C441" i="17"/>
  <c r="B441" i="17"/>
  <c r="C440" i="17"/>
  <c r="B440" i="17"/>
  <c r="C439" i="17"/>
  <c r="B439" i="17"/>
  <c r="C438" i="17"/>
  <c r="B438" i="17"/>
  <c r="C437" i="17"/>
  <c r="B437" i="17"/>
  <c r="C436" i="17"/>
  <c r="B436" i="17"/>
  <c r="C435" i="17"/>
  <c r="B435" i="17"/>
  <c r="C434" i="17"/>
  <c r="B434" i="17"/>
  <c r="C433" i="17"/>
  <c r="B433" i="17"/>
  <c r="C432" i="17"/>
  <c r="B432" i="17"/>
  <c r="C431" i="17"/>
  <c r="B431" i="17"/>
  <c r="C430" i="17"/>
  <c r="B430" i="17"/>
  <c r="C429" i="17"/>
  <c r="B429" i="17"/>
  <c r="C428" i="17"/>
  <c r="B428" i="17"/>
  <c r="C427" i="17"/>
  <c r="B427" i="17"/>
  <c r="C426" i="17"/>
  <c r="B426" i="17"/>
  <c r="C425" i="17"/>
  <c r="B425" i="17"/>
  <c r="C424" i="17"/>
  <c r="B424" i="17"/>
  <c r="C423" i="17"/>
  <c r="B423" i="17"/>
  <c r="C422" i="17"/>
  <c r="B422" i="17"/>
  <c r="C421" i="17"/>
  <c r="B421" i="17"/>
  <c r="C420" i="17"/>
  <c r="B420" i="17"/>
  <c r="C417" i="17"/>
  <c r="B417" i="17"/>
  <c r="C416" i="17"/>
  <c r="B416" i="17"/>
  <c r="C415" i="17"/>
  <c r="B415" i="17"/>
  <c r="C414" i="17"/>
  <c r="B414" i="17"/>
  <c r="C412" i="17"/>
  <c r="B412" i="17"/>
  <c r="C411" i="17"/>
  <c r="B411" i="17"/>
  <c r="C410" i="17"/>
  <c r="B410" i="17"/>
  <c r="C409" i="17"/>
  <c r="B409" i="17"/>
  <c r="C408" i="17"/>
  <c r="B408" i="17"/>
  <c r="C407" i="17"/>
  <c r="B407" i="17"/>
  <c r="C406" i="17"/>
  <c r="B406" i="17"/>
  <c r="C405" i="17"/>
  <c r="B405" i="17"/>
  <c r="C404" i="17"/>
  <c r="B404" i="17"/>
  <c r="C403" i="17"/>
  <c r="B403" i="17"/>
  <c r="C402" i="17"/>
  <c r="B402" i="17"/>
  <c r="C401" i="17"/>
  <c r="B401" i="17"/>
  <c r="C400" i="17"/>
  <c r="B400" i="17"/>
  <c r="C399" i="17"/>
  <c r="B399" i="17"/>
  <c r="C398" i="17"/>
  <c r="B398" i="17"/>
  <c r="C397" i="17"/>
  <c r="B397" i="17"/>
  <c r="C396" i="17"/>
  <c r="B396" i="17"/>
  <c r="C395" i="17"/>
  <c r="B395" i="17"/>
  <c r="C394" i="17"/>
  <c r="B394" i="17"/>
  <c r="C393" i="17"/>
  <c r="B393" i="17"/>
  <c r="C392" i="17"/>
  <c r="B392" i="17"/>
  <c r="C391" i="17"/>
  <c r="B391" i="17"/>
  <c r="C390" i="17"/>
  <c r="B390" i="17"/>
  <c r="C389" i="17"/>
  <c r="B389" i="17"/>
  <c r="C388" i="17"/>
  <c r="B388" i="17"/>
  <c r="C387" i="17"/>
  <c r="B387" i="17"/>
  <c r="C386" i="17"/>
  <c r="B386" i="17"/>
  <c r="C385" i="17"/>
  <c r="B385" i="17"/>
  <c r="C384" i="17"/>
  <c r="B384" i="17"/>
  <c r="C383" i="17"/>
  <c r="B383" i="17"/>
  <c r="C382" i="17"/>
  <c r="B382" i="17"/>
  <c r="C381" i="17"/>
  <c r="B381" i="17"/>
  <c r="C380" i="17"/>
  <c r="B380" i="17"/>
  <c r="C379" i="17"/>
  <c r="B379" i="17"/>
  <c r="C378" i="17"/>
  <c r="B378" i="17"/>
  <c r="C377" i="17"/>
  <c r="B377" i="17"/>
  <c r="C376" i="17"/>
  <c r="B376" i="17"/>
  <c r="C375" i="17"/>
  <c r="B375" i="17"/>
  <c r="C374" i="17"/>
  <c r="B374" i="17"/>
  <c r="C373" i="17"/>
  <c r="B373" i="17"/>
  <c r="C372" i="17"/>
  <c r="B372" i="17"/>
  <c r="C371" i="17"/>
  <c r="B371" i="17"/>
  <c r="C370" i="17"/>
  <c r="B370" i="17"/>
  <c r="C369" i="17"/>
  <c r="B369" i="17"/>
  <c r="C368" i="17"/>
  <c r="B368" i="17"/>
  <c r="C367" i="17"/>
  <c r="B367" i="17"/>
  <c r="C366" i="17"/>
  <c r="B366" i="17"/>
  <c r="C365" i="17"/>
  <c r="B365" i="17"/>
  <c r="C364" i="17"/>
  <c r="B364" i="17"/>
  <c r="C363" i="17"/>
  <c r="B363" i="17"/>
  <c r="C362" i="17"/>
  <c r="B362" i="17"/>
  <c r="C361" i="17"/>
  <c r="B361" i="17"/>
  <c r="C360" i="17"/>
  <c r="B360" i="17"/>
  <c r="C359" i="17"/>
  <c r="B359" i="17"/>
  <c r="C358" i="17"/>
  <c r="B358" i="17"/>
  <c r="C357" i="17"/>
  <c r="B357" i="17"/>
  <c r="C356" i="17"/>
  <c r="B356" i="17"/>
  <c r="C355" i="17"/>
  <c r="B355" i="17"/>
  <c r="C354" i="17"/>
  <c r="B354" i="17"/>
  <c r="C353" i="17"/>
  <c r="B353" i="17"/>
  <c r="C352" i="17"/>
  <c r="B352" i="17"/>
  <c r="C351" i="17"/>
  <c r="B351" i="17"/>
  <c r="C350" i="17"/>
  <c r="B350" i="17"/>
  <c r="C349" i="17"/>
  <c r="B349" i="17"/>
  <c r="C348" i="17"/>
  <c r="B348" i="17"/>
  <c r="C347" i="17"/>
  <c r="B347" i="17"/>
  <c r="C346" i="17"/>
  <c r="B346" i="17"/>
  <c r="C345" i="17"/>
  <c r="B345" i="17"/>
  <c r="C344" i="17"/>
  <c r="B344" i="17"/>
  <c r="C343" i="17"/>
  <c r="B343" i="17"/>
  <c r="C342" i="17"/>
  <c r="B342" i="17"/>
  <c r="C341" i="17"/>
  <c r="B341" i="17"/>
  <c r="C340" i="17"/>
  <c r="B340" i="17"/>
  <c r="C339" i="17"/>
  <c r="B339" i="17"/>
  <c r="C338" i="17"/>
  <c r="B338" i="17"/>
  <c r="C337" i="17"/>
  <c r="B337" i="17"/>
  <c r="C336" i="17"/>
  <c r="B336" i="17"/>
  <c r="C335" i="17"/>
  <c r="B335" i="17"/>
  <c r="C334" i="17"/>
  <c r="B334" i="17"/>
  <c r="C333" i="17"/>
  <c r="B333" i="17"/>
  <c r="C332" i="17"/>
  <c r="B332" i="17"/>
  <c r="C331" i="17"/>
  <c r="B331" i="17"/>
  <c r="C330" i="17"/>
  <c r="B330" i="17"/>
  <c r="C329" i="17"/>
  <c r="B329" i="17"/>
  <c r="C328" i="17"/>
  <c r="B328" i="17"/>
  <c r="C327" i="17"/>
  <c r="B327" i="17"/>
  <c r="C326" i="17"/>
  <c r="B326" i="17"/>
  <c r="C325" i="17"/>
  <c r="B325" i="17"/>
  <c r="C324" i="17"/>
  <c r="B324" i="17"/>
  <c r="C323" i="17"/>
  <c r="B323" i="17"/>
  <c r="C322" i="17"/>
  <c r="B322" i="17"/>
  <c r="C321" i="17"/>
  <c r="B321" i="17"/>
  <c r="C320" i="17"/>
  <c r="B320" i="17"/>
  <c r="C319" i="17"/>
  <c r="B319" i="17"/>
  <c r="C318" i="17"/>
  <c r="B318" i="17"/>
  <c r="C317" i="17"/>
  <c r="B317" i="17"/>
  <c r="C316" i="17"/>
  <c r="B316" i="17"/>
  <c r="C315" i="17"/>
  <c r="B315" i="17"/>
  <c r="C314" i="17"/>
  <c r="B314" i="17"/>
  <c r="C313" i="17"/>
  <c r="B313" i="17"/>
  <c r="C312" i="17"/>
  <c r="B312" i="17"/>
  <c r="C311" i="17"/>
  <c r="B311" i="17"/>
  <c r="C310" i="17"/>
  <c r="B310" i="17"/>
  <c r="C309" i="17"/>
  <c r="B309" i="17"/>
  <c r="C308" i="17"/>
  <c r="B308" i="17"/>
  <c r="C307" i="17"/>
  <c r="B307" i="17"/>
  <c r="C306" i="17"/>
  <c r="B306" i="17"/>
  <c r="C305" i="17"/>
  <c r="B305" i="17"/>
  <c r="C304" i="17"/>
  <c r="B304" i="17"/>
  <c r="C303" i="17"/>
  <c r="B303" i="17"/>
  <c r="C302" i="17"/>
  <c r="B302" i="17"/>
  <c r="C301" i="17"/>
  <c r="B301" i="17"/>
  <c r="C300" i="17"/>
  <c r="B300" i="17"/>
  <c r="C299" i="17"/>
  <c r="B299" i="17"/>
  <c r="C298" i="17"/>
  <c r="B298" i="17"/>
  <c r="C297" i="17"/>
  <c r="B297" i="17"/>
  <c r="C296" i="17"/>
  <c r="B296" i="17"/>
  <c r="C295" i="17"/>
  <c r="B295" i="17"/>
  <c r="C294" i="17"/>
  <c r="B294" i="17"/>
  <c r="C292" i="17"/>
  <c r="B292" i="17"/>
  <c r="C291" i="17"/>
  <c r="B291" i="17"/>
  <c r="C290" i="17"/>
  <c r="B290" i="17"/>
  <c r="C288" i="17"/>
  <c r="B288" i="17"/>
  <c r="C287" i="17"/>
  <c r="B287" i="17"/>
  <c r="C286" i="17"/>
  <c r="B286" i="17"/>
  <c r="C285" i="17"/>
  <c r="B285" i="17"/>
  <c r="C284" i="17"/>
  <c r="B284" i="17"/>
  <c r="C283" i="17"/>
  <c r="B283" i="17"/>
  <c r="C282" i="17"/>
  <c r="B282" i="17"/>
  <c r="C281" i="17"/>
  <c r="B281" i="17"/>
  <c r="C280" i="17"/>
  <c r="B280" i="17"/>
  <c r="C279" i="17"/>
  <c r="B279" i="17"/>
  <c r="C278" i="17"/>
  <c r="B278" i="17"/>
  <c r="C277" i="17"/>
  <c r="B277" i="17"/>
  <c r="C276" i="17"/>
  <c r="B276" i="17"/>
  <c r="C275" i="17"/>
  <c r="B275" i="17"/>
  <c r="C274" i="17"/>
  <c r="B274" i="17"/>
  <c r="C273" i="17"/>
  <c r="B273" i="17"/>
  <c r="C272" i="17"/>
  <c r="B272" i="17"/>
  <c r="C271" i="17"/>
  <c r="B271" i="17"/>
  <c r="C270" i="17"/>
  <c r="B270" i="17"/>
  <c r="C269" i="17"/>
  <c r="B269" i="17"/>
  <c r="C268" i="17"/>
  <c r="B268" i="17"/>
  <c r="C267" i="17"/>
  <c r="B267" i="17"/>
  <c r="C266" i="17"/>
  <c r="B266" i="17"/>
  <c r="C265" i="17"/>
  <c r="B265" i="17"/>
  <c r="C264" i="17"/>
  <c r="B264" i="17"/>
  <c r="C263" i="17"/>
  <c r="B263" i="17"/>
  <c r="C262" i="17"/>
  <c r="B262" i="17"/>
  <c r="C261" i="17"/>
  <c r="B261" i="17"/>
  <c r="C260" i="17"/>
  <c r="B260" i="17"/>
  <c r="C259" i="17"/>
  <c r="B259" i="17"/>
  <c r="C258" i="17"/>
  <c r="B258" i="17"/>
  <c r="C257" i="17"/>
  <c r="B257" i="17"/>
  <c r="C256" i="17"/>
  <c r="B256" i="17"/>
  <c r="B254" i="17"/>
  <c r="B253" i="17"/>
  <c r="C251" i="17"/>
  <c r="B251" i="17"/>
  <c r="C250" i="17"/>
  <c r="B250" i="17"/>
  <c r="C249" i="17"/>
  <c r="B249" i="17"/>
  <c r="C248" i="17"/>
  <c r="B248" i="17"/>
  <c r="C247" i="17"/>
  <c r="B247" i="17"/>
  <c r="C246" i="17"/>
  <c r="B246" i="17"/>
  <c r="C245" i="17"/>
  <c r="B245" i="17"/>
  <c r="C244" i="17"/>
  <c r="B244" i="17"/>
  <c r="C243" i="17"/>
  <c r="B243" i="17"/>
  <c r="C242" i="17"/>
  <c r="B242" i="17"/>
  <c r="C241" i="17"/>
  <c r="B241" i="17"/>
  <c r="C240" i="17"/>
  <c r="B240" i="17"/>
  <c r="C236" i="17"/>
  <c r="B236" i="17"/>
  <c r="C235" i="17"/>
  <c r="B235" i="17"/>
  <c r="C234" i="17"/>
  <c r="B234" i="17"/>
  <c r="C233" i="17"/>
  <c r="B233" i="17"/>
  <c r="C232" i="17"/>
  <c r="B232" i="17"/>
  <c r="C231" i="17"/>
  <c r="B231" i="17"/>
  <c r="C227" i="17"/>
  <c r="B227" i="17"/>
  <c r="C226" i="17"/>
  <c r="B226" i="17"/>
  <c r="C225" i="17"/>
  <c r="B225" i="17"/>
  <c r="C224" i="17"/>
  <c r="B224" i="17"/>
  <c r="C223" i="17"/>
  <c r="B223" i="17"/>
  <c r="C222" i="17"/>
  <c r="B222" i="17"/>
  <c r="C218" i="17"/>
  <c r="B218" i="17"/>
  <c r="C217" i="17"/>
  <c r="B217" i="17"/>
  <c r="C216" i="17"/>
  <c r="B216" i="17"/>
  <c r="C215" i="17"/>
  <c r="B215" i="17"/>
  <c r="C214" i="17"/>
  <c r="B214" i="17"/>
  <c r="C213" i="17"/>
  <c r="B213" i="17"/>
  <c r="C209" i="17"/>
  <c r="B209" i="17"/>
  <c r="C208" i="17"/>
  <c r="B208" i="17"/>
  <c r="C207" i="17"/>
  <c r="B207" i="17"/>
  <c r="C206" i="17"/>
  <c r="B206" i="17"/>
  <c r="C205" i="17"/>
  <c r="B205" i="17"/>
  <c r="C204" i="17"/>
  <c r="B204" i="17"/>
  <c r="C200" i="17"/>
  <c r="B200" i="17"/>
  <c r="C199" i="17"/>
  <c r="B199" i="17"/>
  <c r="C198" i="17"/>
  <c r="B198" i="17"/>
  <c r="C197" i="17"/>
  <c r="B197" i="17"/>
  <c r="C196" i="17"/>
  <c r="B196" i="17"/>
  <c r="C195" i="17"/>
  <c r="B195" i="17"/>
  <c r="B193" i="17"/>
  <c r="B192" i="17"/>
  <c r="C190" i="17"/>
  <c r="B190" i="17"/>
  <c r="C189" i="17"/>
  <c r="B189" i="17"/>
  <c r="C188" i="17"/>
  <c r="B188" i="17"/>
  <c r="C187" i="17"/>
  <c r="B187" i="17"/>
  <c r="C186" i="17"/>
  <c r="B186" i="17"/>
  <c r="C185" i="17"/>
  <c r="B185" i="17"/>
  <c r="C184" i="17"/>
  <c r="B184" i="17"/>
  <c r="C183" i="17"/>
  <c r="B183" i="17"/>
  <c r="C182" i="17"/>
  <c r="B182" i="17"/>
  <c r="C181" i="17"/>
  <c r="B181" i="17"/>
  <c r="C180" i="17"/>
  <c r="B180" i="17"/>
  <c r="C179" i="17"/>
  <c r="B179" i="17"/>
  <c r="C178" i="17"/>
  <c r="B178" i="17"/>
  <c r="C177" i="17"/>
  <c r="B177" i="17"/>
  <c r="C176" i="17"/>
  <c r="B176" i="17"/>
  <c r="C172" i="17"/>
  <c r="B172" i="17"/>
  <c r="C171" i="17"/>
  <c r="B171" i="17"/>
  <c r="C170" i="17"/>
  <c r="B170" i="17"/>
  <c r="C169" i="17"/>
  <c r="B169" i="17"/>
  <c r="C168" i="17"/>
  <c r="B168" i="17"/>
  <c r="C167" i="17"/>
  <c r="B167" i="17"/>
  <c r="C166" i="17"/>
  <c r="B166" i="17"/>
  <c r="C165" i="17"/>
  <c r="B165" i="17"/>
  <c r="C164" i="17"/>
  <c r="B164" i="17"/>
  <c r="C163" i="17"/>
  <c r="B163" i="17"/>
  <c r="C162" i="17"/>
  <c r="B162" i="17"/>
  <c r="C161" i="17"/>
  <c r="B161" i="17"/>
  <c r="C157" i="17"/>
  <c r="B157" i="17"/>
  <c r="C156" i="17"/>
  <c r="B156" i="17"/>
  <c r="C155" i="17"/>
  <c r="B155" i="17"/>
  <c r="C154" i="17"/>
  <c r="B154" i="17"/>
  <c r="C153" i="17"/>
  <c r="B153" i="17"/>
  <c r="C152" i="17"/>
  <c r="B152" i="17"/>
  <c r="C151" i="17"/>
  <c r="B151" i="17"/>
  <c r="C150" i="17"/>
  <c r="B150" i="17"/>
  <c r="C149" i="17"/>
  <c r="B149" i="17"/>
  <c r="C148" i="17"/>
  <c r="B148" i="17"/>
  <c r="C147" i="17"/>
  <c r="B147" i="17"/>
  <c r="C146" i="17"/>
  <c r="B146" i="17"/>
  <c r="C142" i="17"/>
  <c r="B142" i="17"/>
  <c r="C141" i="17"/>
  <c r="B141" i="17"/>
  <c r="C140" i="17"/>
  <c r="B140" i="17"/>
  <c r="C139" i="17"/>
  <c r="B139" i="17"/>
  <c r="C138" i="17"/>
  <c r="B138" i="17"/>
  <c r="C137" i="17"/>
  <c r="B137" i="17"/>
  <c r="C136" i="17"/>
  <c r="B136" i="17"/>
  <c r="C135" i="17"/>
  <c r="B135" i="17"/>
  <c r="C134" i="17"/>
  <c r="B134" i="17"/>
  <c r="C133" i="17"/>
  <c r="B133" i="17"/>
  <c r="C132" i="17"/>
  <c r="B132" i="17"/>
  <c r="C131" i="17"/>
  <c r="B131" i="17"/>
  <c r="C127" i="17"/>
  <c r="B127" i="17"/>
  <c r="C126" i="17"/>
  <c r="B126" i="17"/>
  <c r="C125" i="17"/>
  <c r="B125" i="17"/>
  <c r="C124" i="17"/>
  <c r="B124" i="17"/>
  <c r="C123" i="17"/>
  <c r="B123" i="17"/>
  <c r="C122" i="17"/>
  <c r="B122" i="17"/>
  <c r="C121" i="17"/>
  <c r="B121" i="17"/>
  <c r="C120" i="17"/>
  <c r="B120" i="17"/>
  <c r="C119" i="17"/>
  <c r="B119" i="17"/>
  <c r="C118" i="17"/>
  <c r="B118" i="17"/>
  <c r="C117" i="17"/>
  <c r="B117" i="17"/>
  <c r="C116" i="17"/>
  <c r="B116" i="17"/>
  <c r="C112" i="17"/>
  <c r="B112" i="17"/>
  <c r="C111" i="17"/>
  <c r="B111" i="17"/>
  <c r="C110" i="17"/>
  <c r="B110" i="17"/>
  <c r="C109" i="17"/>
  <c r="B109" i="17"/>
  <c r="C108" i="17"/>
  <c r="B108" i="17"/>
  <c r="C107" i="17"/>
  <c r="B107" i="17"/>
  <c r="C106" i="17"/>
  <c r="B106" i="17"/>
  <c r="C105" i="17"/>
  <c r="B105" i="17"/>
  <c r="C104" i="17"/>
  <c r="B104" i="17"/>
  <c r="C103" i="17"/>
  <c r="B103" i="17"/>
  <c r="C102" i="17"/>
  <c r="B102" i="17"/>
  <c r="C101" i="17"/>
  <c r="B101" i="17"/>
  <c r="C100" i="17"/>
  <c r="B100" i="17"/>
  <c r="C99" i="17"/>
  <c r="B99" i="17"/>
  <c r="C98" i="17"/>
  <c r="B98" i="17"/>
  <c r="C95" i="17"/>
  <c r="B95" i="17"/>
  <c r="C94" i="17"/>
  <c r="B94" i="17"/>
  <c r="C93" i="17"/>
  <c r="B93" i="17"/>
  <c r="C92" i="17"/>
  <c r="B92" i="17"/>
  <c r="C90" i="17"/>
  <c r="B90" i="17"/>
  <c r="C89" i="17"/>
  <c r="B89" i="17"/>
  <c r="C88" i="17"/>
  <c r="B88" i="17"/>
  <c r="C87" i="17"/>
  <c r="B87" i="17"/>
  <c r="C86" i="17"/>
  <c r="B86" i="17"/>
  <c r="C85" i="17"/>
  <c r="B85" i="17"/>
  <c r="B83" i="17"/>
  <c r="B82" i="17"/>
  <c r="C80" i="17"/>
  <c r="B80" i="17"/>
  <c r="C79" i="17"/>
  <c r="B79" i="17"/>
  <c r="C78" i="17"/>
  <c r="B78" i="17"/>
  <c r="C77" i="17"/>
  <c r="B77" i="17"/>
  <c r="C76" i="17"/>
  <c r="B76" i="17"/>
  <c r="C75" i="17"/>
  <c r="B75" i="17"/>
  <c r="C74" i="17"/>
  <c r="B74" i="17"/>
  <c r="C73" i="17"/>
  <c r="B73" i="17"/>
  <c r="C72" i="17"/>
  <c r="B72" i="17"/>
  <c r="C71" i="17"/>
  <c r="B71" i="17"/>
  <c r="C70" i="17"/>
  <c r="B70" i="17"/>
  <c r="C69" i="17"/>
  <c r="B69" i="17"/>
  <c r="C68" i="17"/>
  <c r="B68" i="17"/>
  <c r="C67" i="17"/>
  <c r="B67" i="17"/>
  <c r="C66" i="17"/>
  <c r="B66" i="17"/>
  <c r="C65" i="17"/>
  <c r="B65" i="17"/>
  <c r="C61" i="17"/>
  <c r="B61" i="17"/>
  <c r="C60" i="17"/>
  <c r="B60" i="17"/>
  <c r="C59" i="17"/>
  <c r="B59" i="17"/>
  <c r="C58" i="17"/>
  <c r="B58" i="17"/>
  <c r="C57" i="17"/>
  <c r="B57" i="17"/>
  <c r="C56" i="17"/>
  <c r="B56" i="17"/>
  <c r="C55" i="17"/>
  <c r="B55" i="17"/>
  <c r="C54" i="17"/>
  <c r="B54" i="17"/>
  <c r="C53" i="17"/>
  <c r="B53" i="17"/>
  <c r="C49" i="17"/>
  <c r="B49" i="17"/>
  <c r="C48" i="17"/>
  <c r="B48" i="17"/>
  <c r="C47" i="17"/>
  <c r="B47" i="17"/>
  <c r="C46" i="17"/>
  <c r="B46" i="17"/>
  <c r="C45" i="17"/>
  <c r="B45" i="17"/>
  <c r="C44" i="17"/>
  <c r="B44" i="17"/>
  <c r="C43" i="17"/>
  <c r="B43" i="17"/>
  <c r="C42" i="17"/>
  <c r="B42" i="17"/>
  <c r="C41" i="17"/>
  <c r="B41" i="17"/>
  <c r="C37" i="17"/>
  <c r="B37" i="17"/>
  <c r="C36" i="17"/>
  <c r="B36" i="17"/>
  <c r="C35" i="17"/>
  <c r="B35" i="17"/>
  <c r="C34" i="17"/>
  <c r="B34" i="17"/>
  <c r="C33" i="17"/>
  <c r="B33" i="17"/>
  <c r="C32" i="17"/>
  <c r="B32" i="17"/>
  <c r="C31" i="17"/>
  <c r="B31" i="17"/>
  <c r="C30" i="17"/>
  <c r="B30" i="17"/>
  <c r="C29" i="17"/>
  <c r="B29" i="17"/>
  <c r="C25" i="17"/>
  <c r="B25" i="17"/>
  <c r="C24" i="17"/>
  <c r="B24" i="17"/>
  <c r="C23" i="17"/>
  <c r="B23" i="17"/>
  <c r="C22" i="17"/>
  <c r="B22" i="17"/>
  <c r="C21" i="17"/>
  <c r="B21" i="17"/>
  <c r="C20" i="17"/>
  <c r="B20" i="17"/>
  <c r="C19" i="17"/>
  <c r="B19" i="17"/>
  <c r="C18" i="17"/>
  <c r="B18" i="17"/>
  <c r="C17" i="17"/>
  <c r="B17" i="17"/>
  <c r="C13" i="17"/>
  <c r="B13" i="17"/>
  <c r="C12" i="17"/>
  <c r="B12" i="17"/>
  <c r="C11" i="17"/>
  <c r="B11" i="17"/>
  <c r="C10" i="17"/>
  <c r="B10" i="17"/>
  <c r="C9" i="17"/>
  <c r="B9" i="17"/>
  <c r="C8" i="17"/>
  <c r="B8" i="17"/>
  <c r="C7" i="17"/>
  <c r="B7" i="17"/>
  <c r="C6" i="17"/>
  <c r="B6" i="17"/>
  <c r="C5" i="17"/>
  <c r="B5" i="17"/>
  <c r="D557" i="21"/>
  <c r="D556" i="21"/>
  <c r="D521" i="21"/>
  <c r="D501" i="21"/>
  <c r="D500" i="21"/>
  <c r="G319" i="21"/>
  <c r="G318" i="21"/>
  <c r="G317" i="21"/>
  <c r="F319" i="21"/>
  <c r="F318" i="21"/>
  <c r="F317" i="21"/>
  <c r="E319" i="21"/>
  <c r="E318" i="21"/>
  <c r="E317" i="21"/>
  <c r="D319" i="21"/>
  <c r="D318" i="21"/>
  <c r="D317" i="21"/>
  <c r="D104" i="21"/>
  <c r="D103" i="21"/>
  <c r="D102" i="21"/>
  <c r="D101" i="21"/>
  <c r="B580" i="21"/>
  <c r="B579" i="21"/>
  <c r="B578" i="21"/>
  <c r="B577" i="21"/>
  <c r="B576" i="21"/>
  <c r="B575" i="21"/>
  <c r="B574" i="21"/>
  <c r="B572" i="21"/>
  <c r="B571" i="21"/>
  <c r="B570" i="21"/>
  <c r="B569" i="21"/>
  <c r="B568" i="21"/>
  <c r="B566" i="21"/>
  <c r="B565" i="21"/>
  <c r="B564" i="21"/>
  <c r="B563" i="21"/>
  <c r="B562" i="21"/>
  <c r="B561" i="21"/>
  <c r="B560" i="21"/>
  <c r="B559" i="21"/>
  <c r="C557" i="21"/>
  <c r="B557" i="21"/>
  <c r="C556" i="21"/>
  <c r="B556" i="21"/>
  <c r="C553" i="21"/>
  <c r="B553" i="21"/>
  <c r="C552" i="21"/>
  <c r="B552" i="21"/>
  <c r="C551" i="21"/>
  <c r="B551" i="21"/>
  <c r="C550" i="21"/>
  <c r="B550" i="21"/>
  <c r="C549" i="21"/>
  <c r="B549" i="21"/>
  <c r="C548" i="21"/>
  <c r="B548" i="21"/>
  <c r="C547" i="21"/>
  <c r="B547" i="21"/>
  <c r="C546" i="21"/>
  <c r="B546" i="21"/>
  <c r="C545" i="21"/>
  <c r="B545" i="21"/>
  <c r="C544" i="21"/>
  <c r="B544" i="21"/>
  <c r="C543" i="21"/>
  <c r="B543" i="21"/>
  <c r="C542" i="21"/>
  <c r="B542" i="21"/>
  <c r="C541" i="21"/>
  <c r="B541" i="21"/>
  <c r="C540" i="21"/>
  <c r="B540" i="21"/>
  <c r="C539" i="21"/>
  <c r="B539" i="21"/>
  <c r="C537" i="21"/>
  <c r="B537" i="21"/>
  <c r="C536" i="21"/>
  <c r="B536" i="21"/>
  <c r="C535" i="21"/>
  <c r="B535" i="21"/>
  <c r="C534" i="21"/>
  <c r="B534" i="21"/>
  <c r="C533" i="21"/>
  <c r="B533" i="21"/>
  <c r="C532" i="21"/>
  <c r="B532" i="21"/>
  <c r="C531" i="21"/>
  <c r="B531" i="21"/>
  <c r="C530" i="21"/>
  <c r="B530" i="21"/>
  <c r="C529" i="21"/>
  <c r="B529" i="21"/>
  <c r="C528" i="21"/>
  <c r="B528" i="21"/>
  <c r="C527" i="21"/>
  <c r="B527" i="21"/>
  <c r="C526" i="21"/>
  <c r="B526" i="21"/>
  <c r="C525" i="21"/>
  <c r="B525" i="21"/>
  <c r="C524" i="21"/>
  <c r="B524" i="21"/>
  <c r="C523" i="21"/>
  <c r="B523" i="21"/>
  <c r="C521" i="21"/>
  <c r="B521" i="21"/>
  <c r="C518" i="21"/>
  <c r="B518" i="21"/>
  <c r="C517" i="21"/>
  <c r="B517" i="21"/>
  <c r="C516" i="21"/>
  <c r="B516" i="21"/>
  <c r="C515" i="21"/>
  <c r="B515" i="21"/>
  <c r="C514" i="21"/>
  <c r="B514" i="21"/>
  <c r="C513" i="21"/>
  <c r="B513" i="21"/>
  <c r="C512" i="21"/>
  <c r="B512" i="21"/>
  <c r="C511" i="21"/>
  <c r="B511" i="21"/>
  <c r="C510" i="21"/>
  <c r="B510" i="21"/>
  <c r="C509" i="21"/>
  <c r="B509" i="21"/>
  <c r="C508" i="21"/>
  <c r="B508" i="21"/>
  <c r="C507" i="21"/>
  <c r="B507" i="21"/>
  <c r="C506" i="21"/>
  <c r="B506" i="21"/>
  <c r="C505" i="21"/>
  <c r="B505" i="21"/>
  <c r="C504" i="21"/>
  <c r="B504" i="21"/>
  <c r="C503" i="21"/>
  <c r="B503" i="21"/>
  <c r="C501" i="21"/>
  <c r="B501" i="21"/>
  <c r="C500" i="21"/>
  <c r="B500" i="21"/>
  <c r="C497" i="21"/>
  <c r="B497" i="21"/>
  <c r="C496" i="21"/>
  <c r="B496" i="21"/>
  <c r="C495" i="21"/>
  <c r="B495" i="21"/>
  <c r="C494" i="21"/>
  <c r="B494" i="21"/>
  <c r="C493" i="21"/>
  <c r="B493" i="21"/>
  <c r="C492" i="21"/>
  <c r="B492" i="21"/>
  <c r="C491" i="21"/>
  <c r="B491" i="21"/>
  <c r="C490" i="21"/>
  <c r="B490" i="21"/>
  <c r="C489" i="21"/>
  <c r="B489" i="21"/>
  <c r="C488" i="21"/>
  <c r="B488" i="21"/>
  <c r="C487" i="21"/>
  <c r="B487" i="21"/>
  <c r="C486" i="21"/>
  <c r="B486" i="21"/>
  <c r="C485" i="21"/>
  <c r="B485" i="21"/>
  <c r="C484" i="21"/>
  <c r="B484" i="21"/>
  <c r="C483" i="21"/>
  <c r="B483" i="21"/>
  <c r="C482" i="21"/>
  <c r="B482" i="21"/>
  <c r="C481" i="21"/>
  <c r="B481" i="21"/>
  <c r="C480" i="21"/>
  <c r="B480" i="21"/>
  <c r="C479" i="21"/>
  <c r="B479" i="21"/>
  <c r="C478" i="21"/>
  <c r="B478" i="21"/>
  <c r="C477" i="21"/>
  <c r="B477" i="21"/>
  <c r="C476" i="21"/>
  <c r="B476" i="21"/>
  <c r="C475" i="21"/>
  <c r="B475" i="21"/>
  <c r="C474" i="21"/>
  <c r="B474" i="21"/>
  <c r="C473" i="21"/>
  <c r="B473" i="21"/>
  <c r="C471" i="21"/>
  <c r="B471" i="21"/>
  <c r="C470" i="21"/>
  <c r="B470" i="21"/>
  <c r="C469" i="21"/>
  <c r="B469" i="21"/>
  <c r="C468" i="21"/>
  <c r="B468" i="21"/>
  <c r="C467" i="21"/>
  <c r="B467" i="21"/>
  <c r="C466" i="21"/>
  <c r="B466" i="21"/>
  <c r="C465" i="21"/>
  <c r="B465" i="21"/>
  <c r="C464" i="21"/>
  <c r="B464" i="21"/>
  <c r="C463" i="21"/>
  <c r="B463" i="21"/>
  <c r="C462" i="21"/>
  <c r="B462" i="21"/>
  <c r="C461" i="21"/>
  <c r="B461" i="21"/>
  <c r="C460" i="21"/>
  <c r="B460" i="21"/>
  <c r="C459" i="21"/>
  <c r="B459" i="21"/>
  <c r="C458" i="21"/>
  <c r="B458" i="21"/>
  <c r="C457" i="21"/>
  <c r="B457" i="21"/>
  <c r="C456" i="21"/>
  <c r="B456" i="21"/>
  <c r="C455" i="21"/>
  <c r="B455" i="21"/>
  <c r="C454" i="21"/>
  <c r="B454" i="21"/>
  <c r="C453" i="21"/>
  <c r="B453" i="21"/>
  <c r="C452" i="21"/>
  <c r="B452" i="21"/>
  <c r="C451" i="21"/>
  <c r="B451" i="21"/>
  <c r="C450" i="21"/>
  <c r="B450" i="21"/>
  <c r="C449" i="21"/>
  <c r="B449" i="21"/>
  <c r="C448" i="21"/>
  <c r="B448" i="21"/>
  <c r="C447" i="21"/>
  <c r="B447" i="21"/>
  <c r="C444" i="21"/>
  <c r="B444" i="21"/>
  <c r="C443" i="21"/>
  <c r="B443" i="21"/>
  <c r="C442" i="21"/>
  <c r="B442" i="21"/>
  <c r="C441" i="21"/>
  <c r="B441" i="21"/>
  <c r="C439" i="21"/>
  <c r="B439" i="21"/>
  <c r="C438" i="21"/>
  <c r="B438" i="21"/>
  <c r="C437" i="21"/>
  <c r="B437" i="21"/>
  <c r="C436" i="21"/>
  <c r="B436" i="21"/>
  <c r="C435" i="21"/>
  <c r="B435" i="21"/>
  <c r="C434" i="21"/>
  <c r="B434" i="21"/>
  <c r="C433" i="21"/>
  <c r="B433" i="21"/>
  <c r="C432" i="21"/>
  <c r="B432" i="21"/>
  <c r="C431" i="21"/>
  <c r="B431" i="21"/>
  <c r="C430" i="21"/>
  <c r="B430" i="21"/>
  <c r="C429" i="21"/>
  <c r="B429" i="21"/>
  <c r="C428" i="21"/>
  <c r="B428" i="21"/>
  <c r="C427" i="21"/>
  <c r="B427" i="21"/>
  <c r="C426" i="21"/>
  <c r="B426" i="21"/>
  <c r="C425" i="21"/>
  <c r="B425" i="21"/>
  <c r="C424" i="21"/>
  <c r="B424" i="21"/>
  <c r="C423" i="21"/>
  <c r="B423" i="21"/>
  <c r="C422" i="21"/>
  <c r="B422" i="21"/>
  <c r="C421" i="21"/>
  <c r="B421" i="21"/>
  <c r="C420" i="21"/>
  <c r="B420" i="21"/>
  <c r="C419" i="21"/>
  <c r="B419" i="21"/>
  <c r="C418" i="21"/>
  <c r="B418" i="21"/>
  <c r="C417" i="21"/>
  <c r="B417" i="21"/>
  <c r="C416" i="21"/>
  <c r="B416" i="21"/>
  <c r="C415" i="21"/>
  <c r="B415" i="21"/>
  <c r="C414" i="21"/>
  <c r="B414" i="21"/>
  <c r="C413" i="21"/>
  <c r="B413" i="21"/>
  <c r="C412" i="21"/>
  <c r="B412" i="21"/>
  <c r="C411" i="21"/>
  <c r="B411" i="21"/>
  <c r="C410" i="21"/>
  <c r="B410" i="21"/>
  <c r="C409" i="21"/>
  <c r="B409" i="21"/>
  <c r="C408" i="21"/>
  <c r="B408" i="21"/>
  <c r="C407" i="21"/>
  <c r="B407" i="21"/>
  <c r="C406" i="21"/>
  <c r="B406" i="21"/>
  <c r="C405" i="21"/>
  <c r="B405" i="21"/>
  <c r="C404" i="21"/>
  <c r="B404" i="21"/>
  <c r="C403" i="21"/>
  <c r="B403" i="21"/>
  <c r="C402" i="21"/>
  <c r="B402" i="21"/>
  <c r="C401" i="21"/>
  <c r="B401" i="21"/>
  <c r="C400" i="21"/>
  <c r="B400" i="21"/>
  <c r="C399" i="21"/>
  <c r="B399" i="21"/>
  <c r="C398" i="21"/>
  <c r="B398" i="21"/>
  <c r="C397" i="21"/>
  <c r="B397" i="21"/>
  <c r="C396" i="21"/>
  <c r="B396" i="21"/>
  <c r="C395" i="21"/>
  <c r="B395" i="21"/>
  <c r="C394" i="21"/>
  <c r="B394" i="21"/>
  <c r="C393" i="21"/>
  <c r="B393" i="21"/>
  <c r="C392" i="21"/>
  <c r="B392" i="21"/>
  <c r="C391" i="21"/>
  <c r="B391" i="21"/>
  <c r="C390" i="21"/>
  <c r="B390" i="21"/>
  <c r="C389" i="21"/>
  <c r="B389" i="21"/>
  <c r="C388" i="21"/>
  <c r="B388" i="21"/>
  <c r="C387" i="21"/>
  <c r="B387" i="21"/>
  <c r="C386" i="21"/>
  <c r="B386" i="21"/>
  <c r="C385" i="21"/>
  <c r="B385" i="21"/>
  <c r="C384" i="21"/>
  <c r="B384" i="21"/>
  <c r="C383" i="21"/>
  <c r="B383" i="21"/>
  <c r="C382" i="21"/>
  <c r="B382" i="21"/>
  <c r="C381" i="21"/>
  <c r="B381" i="21"/>
  <c r="C380" i="21"/>
  <c r="B380" i="21"/>
  <c r="C379" i="21"/>
  <c r="B379" i="21"/>
  <c r="C378" i="21"/>
  <c r="B378" i="21"/>
  <c r="C377" i="21"/>
  <c r="B377" i="21"/>
  <c r="C376" i="21"/>
  <c r="B376" i="21"/>
  <c r="C375" i="21"/>
  <c r="B375" i="21"/>
  <c r="C374" i="21"/>
  <c r="B374" i="21"/>
  <c r="C373" i="21"/>
  <c r="B373" i="21"/>
  <c r="C372" i="21"/>
  <c r="B372" i="21"/>
  <c r="C371" i="21"/>
  <c r="B371" i="21"/>
  <c r="C370" i="21"/>
  <c r="B370" i="21"/>
  <c r="C369" i="21"/>
  <c r="B369" i="21"/>
  <c r="C368" i="21"/>
  <c r="B368" i="21"/>
  <c r="C367" i="21"/>
  <c r="B367" i="21"/>
  <c r="C366" i="21"/>
  <c r="B366" i="21"/>
  <c r="C365" i="21"/>
  <c r="B365" i="21"/>
  <c r="C364" i="21"/>
  <c r="B364" i="21"/>
  <c r="C363" i="21"/>
  <c r="B363" i="21"/>
  <c r="C362" i="21"/>
  <c r="B362" i="21"/>
  <c r="C361" i="21"/>
  <c r="B361" i="21"/>
  <c r="C360" i="21"/>
  <c r="B360" i="21"/>
  <c r="C359" i="21"/>
  <c r="B359" i="21"/>
  <c r="C358" i="21"/>
  <c r="B358" i="21"/>
  <c r="C357" i="21"/>
  <c r="B357" i="21"/>
  <c r="C356" i="21"/>
  <c r="B356" i="21"/>
  <c r="C355" i="21"/>
  <c r="B355" i="21"/>
  <c r="C354" i="21"/>
  <c r="B354" i="21"/>
  <c r="C353" i="21"/>
  <c r="B353" i="21"/>
  <c r="C352" i="21"/>
  <c r="B352" i="21"/>
  <c r="C351" i="21"/>
  <c r="B351" i="21"/>
  <c r="C350" i="21"/>
  <c r="B350" i="21"/>
  <c r="C349" i="21"/>
  <c r="B349" i="21"/>
  <c r="C348" i="21"/>
  <c r="B348" i="21"/>
  <c r="C347" i="21"/>
  <c r="B347" i="21"/>
  <c r="C346" i="21"/>
  <c r="B346" i="21"/>
  <c r="C345" i="21"/>
  <c r="B345" i="21"/>
  <c r="C344" i="21"/>
  <c r="B344" i="21"/>
  <c r="C343" i="21"/>
  <c r="B343" i="21"/>
  <c r="C342" i="21"/>
  <c r="B342" i="21"/>
  <c r="C341" i="21"/>
  <c r="B341" i="21"/>
  <c r="C340" i="21"/>
  <c r="B340" i="21"/>
  <c r="C339" i="21"/>
  <c r="B339" i="21"/>
  <c r="C338" i="21"/>
  <c r="B338" i="21"/>
  <c r="C337" i="21"/>
  <c r="B337" i="21"/>
  <c r="C336" i="21"/>
  <c r="B336" i="21"/>
  <c r="C335" i="21"/>
  <c r="B335" i="21"/>
  <c r="C334" i="21"/>
  <c r="B334" i="21"/>
  <c r="C333" i="21"/>
  <c r="B333" i="21"/>
  <c r="C332" i="21"/>
  <c r="B332" i="21"/>
  <c r="C331" i="21"/>
  <c r="B331" i="21"/>
  <c r="C330" i="21"/>
  <c r="B330" i="21"/>
  <c r="C329" i="21"/>
  <c r="B329" i="21"/>
  <c r="C328" i="21"/>
  <c r="B328" i="21"/>
  <c r="C327" i="21"/>
  <c r="B327" i="21"/>
  <c r="C326" i="21"/>
  <c r="B326" i="21"/>
  <c r="C325" i="21"/>
  <c r="B325" i="21"/>
  <c r="C324" i="21"/>
  <c r="B324" i="21"/>
  <c r="C323" i="21"/>
  <c r="B323" i="21"/>
  <c r="C322" i="21"/>
  <c r="B322" i="21"/>
  <c r="C321" i="21"/>
  <c r="B321" i="21"/>
  <c r="C319" i="21"/>
  <c r="B319" i="21"/>
  <c r="C318" i="21"/>
  <c r="B318" i="21"/>
  <c r="C317" i="21"/>
  <c r="B317" i="21"/>
  <c r="C312" i="21"/>
  <c r="B312" i="21"/>
  <c r="C311" i="21"/>
  <c r="B311" i="21"/>
  <c r="C310" i="21"/>
  <c r="B310" i="21"/>
  <c r="C309" i="21"/>
  <c r="B309" i="21"/>
  <c r="C308" i="21"/>
  <c r="B308" i="21"/>
  <c r="C307" i="21"/>
  <c r="B307" i="21"/>
  <c r="C306" i="21"/>
  <c r="B306" i="21"/>
  <c r="C305" i="21"/>
  <c r="B305" i="21"/>
  <c r="C304" i="21"/>
  <c r="B304" i="21"/>
  <c r="C303" i="21"/>
  <c r="B303" i="21"/>
  <c r="C302" i="21"/>
  <c r="B302" i="21"/>
  <c r="C301" i="21"/>
  <c r="B301" i="21"/>
  <c r="C300" i="21"/>
  <c r="B300" i="21"/>
  <c r="C299" i="21"/>
  <c r="B299" i="21"/>
  <c r="C298" i="21"/>
  <c r="B298" i="21"/>
  <c r="C297" i="21"/>
  <c r="B297" i="21"/>
  <c r="C296" i="21"/>
  <c r="B296" i="21"/>
  <c r="C295" i="21"/>
  <c r="B295" i="21"/>
  <c r="C294" i="21"/>
  <c r="B294" i="21"/>
  <c r="C293" i="21"/>
  <c r="B293" i="21"/>
  <c r="C292" i="21"/>
  <c r="B292" i="21"/>
  <c r="C291" i="21"/>
  <c r="B291" i="21"/>
  <c r="C290" i="21"/>
  <c r="B290" i="21"/>
  <c r="C289" i="21"/>
  <c r="B289" i="21"/>
  <c r="C288" i="21"/>
  <c r="B288" i="21"/>
  <c r="C287" i="21"/>
  <c r="B287" i="21"/>
  <c r="C286" i="21"/>
  <c r="B286" i="21"/>
  <c r="C285" i="21"/>
  <c r="B285" i="21"/>
  <c r="C284" i="21"/>
  <c r="B284" i="21"/>
  <c r="C283" i="21"/>
  <c r="B283" i="21"/>
  <c r="C282" i="21"/>
  <c r="B282" i="21"/>
  <c r="C281" i="21"/>
  <c r="B281" i="21"/>
  <c r="C280" i="21"/>
  <c r="B280" i="21"/>
  <c r="B278" i="21"/>
  <c r="B277" i="21"/>
  <c r="C272" i="21"/>
  <c r="B272" i="21"/>
  <c r="C271" i="21"/>
  <c r="B271" i="21"/>
  <c r="C270" i="21"/>
  <c r="B270" i="21"/>
  <c r="C269" i="21"/>
  <c r="B269" i="21"/>
  <c r="C268" i="21"/>
  <c r="B268" i="21"/>
  <c r="C267" i="21"/>
  <c r="B267" i="21"/>
  <c r="C266" i="21"/>
  <c r="B266" i="21"/>
  <c r="C265" i="21"/>
  <c r="B265" i="21"/>
  <c r="C264" i="21"/>
  <c r="B264" i="21"/>
  <c r="C263" i="21"/>
  <c r="B263" i="21"/>
  <c r="C262" i="21"/>
  <c r="B262" i="21"/>
  <c r="C261" i="21"/>
  <c r="B261" i="21"/>
  <c r="C254" i="21"/>
  <c r="B254" i="21"/>
  <c r="C253" i="21"/>
  <c r="B253" i="21"/>
  <c r="C252" i="21"/>
  <c r="B252" i="21"/>
  <c r="C251" i="21"/>
  <c r="B251" i="21"/>
  <c r="C250" i="21"/>
  <c r="B250" i="21"/>
  <c r="C249" i="21"/>
  <c r="B249" i="21"/>
  <c r="C245" i="21"/>
  <c r="B245" i="21"/>
  <c r="C244" i="21"/>
  <c r="B244" i="21"/>
  <c r="C243" i="21"/>
  <c r="B243" i="21"/>
  <c r="C242" i="21"/>
  <c r="B242" i="21"/>
  <c r="C241" i="21"/>
  <c r="B241" i="21"/>
  <c r="C240" i="21"/>
  <c r="B240" i="21"/>
  <c r="C236" i="21"/>
  <c r="B236" i="21"/>
  <c r="C235" i="21"/>
  <c r="B235" i="21"/>
  <c r="C234" i="21"/>
  <c r="B234" i="21"/>
  <c r="C233" i="21"/>
  <c r="B233" i="21"/>
  <c r="C232" i="21"/>
  <c r="B232" i="21"/>
  <c r="C231" i="21"/>
  <c r="B231" i="21"/>
  <c r="C227" i="21"/>
  <c r="B227" i="21"/>
  <c r="C226" i="21"/>
  <c r="B226" i="21"/>
  <c r="C225" i="21"/>
  <c r="B225" i="21"/>
  <c r="C224" i="21"/>
  <c r="B224" i="21"/>
  <c r="C223" i="21"/>
  <c r="B223" i="21"/>
  <c r="C222" i="21"/>
  <c r="B222" i="21"/>
  <c r="C218" i="21"/>
  <c r="B218" i="21"/>
  <c r="C217" i="21"/>
  <c r="B217" i="21"/>
  <c r="C216" i="21"/>
  <c r="B216" i="21"/>
  <c r="C215" i="21"/>
  <c r="B215" i="21"/>
  <c r="C214" i="21"/>
  <c r="B214" i="21"/>
  <c r="C213" i="21"/>
  <c r="B213" i="21"/>
  <c r="B211" i="21"/>
  <c r="B210" i="21"/>
  <c r="C205" i="21"/>
  <c r="B205" i="21"/>
  <c r="C204" i="21"/>
  <c r="B204" i="21"/>
  <c r="C203" i="21"/>
  <c r="B203" i="21"/>
  <c r="C202" i="21"/>
  <c r="B202" i="21"/>
  <c r="C201" i="21"/>
  <c r="B201" i="21"/>
  <c r="C200" i="21"/>
  <c r="B200" i="21"/>
  <c r="C199" i="21"/>
  <c r="B199" i="21"/>
  <c r="C198" i="21"/>
  <c r="B198" i="21"/>
  <c r="C197" i="21"/>
  <c r="B197" i="21"/>
  <c r="C196" i="21"/>
  <c r="B196" i="21"/>
  <c r="C195" i="21"/>
  <c r="B195" i="21"/>
  <c r="C194" i="21"/>
  <c r="B194" i="21"/>
  <c r="C193" i="21"/>
  <c r="B193" i="21"/>
  <c r="C192" i="21"/>
  <c r="B192" i="21"/>
  <c r="C191" i="21"/>
  <c r="B191" i="21"/>
  <c r="C184" i="21"/>
  <c r="B184" i="21"/>
  <c r="C183" i="21"/>
  <c r="B183" i="21"/>
  <c r="C182" i="21"/>
  <c r="B182" i="21"/>
  <c r="C181" i="21"/>
  <c r="B181" i="21"/>
  <c r="C180" i="21"/>
  <c r="B180" i="21"/>
  <c r="C179" i="21"/>
  <c r="B179" i="21"/>
  <c r="C178" i="21"/>
  <c r="B178" i="21"/>
  <c r="C177" i="21"/>
  <c r="B177" i="21"/>
  <c r="C176" i="21"/>
  <c r="B176" i="21"/>
  <c r="C175" i="21"/>
  <c r="B175" i="21"/>
  <c r="C174" i="21"/>
  <c r="B174" i="21"/>
  <c r="C173" i="21"/>
  <c r="B173" i="21"/>
  <c r="C169" i="21"/>
  <c r="B169" i="21"/>
  <c r="C168" i="21"/>
  <c r="B168" i="21"/>
  <c r="C167" i="21"/>
  <c r="B167" i="21"/>
  <c r="C166" i="21"/>
  <c r="B166" i="21"/>
  <c r="C165" i="21"/>
  <c r="B165" i="21"/>
  <c r="C164" i="21"/>
  <c r="B164" i="21"/>
  <c r="C163" i="21"/>
  <c r="B163" i="21"/>
  <c r="C162" i="21"/>
  <c r="B162" i="21"/>
  <c r="C161" i="21"/>
  <c r="B161" i="21"/>
  <c r="C160" i="21"/>
  <c r="B160" i="21"/>
  <c r="C159" i="21"/>
  <c r="B159" i="21"/>
  <c r="C158" i="21"/>
  <c r="B158" i="21"/>
  <c r="C154" i="21"/>
  <c r="B154" i="21"/>
  <c r="C153" i="21"/>
  <c r="B153" i="21"/>
  <c r="C152" i="21"/>
  <c r="B152" i="21"/>
  <c r="C151" i="21"/>
  <c r="B151" i="21"/>
  <c r="C150" i="21"/>
  <c r="B150" i="21"/>
  <c r="C149" i="21"/>
  <c r="B149" i="21"/>
  <c r="C148" i="21"/>
  <c r="B148" i="21"/>
  <c r="C147" i="21"/>
  <c r="B147" i="21"/>
  <c r="C146" i="21"/>
  <c r="B146" i="21"/>
  <c r="C145" i="21"/>
  <c r="B145" i="21"/>
  <c r="C144" i="21"/>
  <c r="B144" i="21"/>
  <c r="C143" i="21"/>
  <c r="B143" i="21"/>
  <c r="C139" i="21"/>
  <c r="B139" i="21"/>
  <c r="C138" i="21"/>
  <c r="B138" i="21"/>
  <c r="C137" i="21"/>
  <c r="B137" i="21"/>
  <c r="C136" i="21"/>
  <c r="B136" i="21"/>
  <c r="C135" i="21"/>
  <c r="B135" i="21"/>
  <c r="C134" i="21"/>
  <c r="B134" i="21"/>
  <c r="C133" i="21"/>
  <c r="B133" i="21"/>
  <c r="C132" i="21"/>
  <c r="B132" i="21"/>
  <c r="C131" i="21"/>
  <c r="B131" i="21"/>
  <c r="C130" i="21"/>
  <c r="B130" i="21"/>
  <c r="C129" i="21"/>
  <c r="B129" i="21"/>
  <c r="C128" i="21"/>
  <c r="B128" i="21"/>
  <c r="C124" i="21"/>
  <c r="B124" i="21"/>
  <c r="C123" i="21"/>
  <c r="B123" i="21"/>
  <c r="C122" i="21"/>
  <c r="B122" i="21"/>
  <c r="C121" i="21"/>
  <c r="B121" i="21"/>
  <c r="C120" i="21"/>
  <c r="B120" i="21"/>
  <c r="C119" i="21"/>
  <c r="B119" i="21"/>
  <c r="C118" i="21"/>
  <c r="B118" i="21"/>
  <c r="C117" i="21"/>
  <c r="B117" i="21"/>
  <c r="C116" i="21"/>
  <c r="B116" i="21"/>
  <c r="C115" i="21"/>
  <c r="B115" i="21"/>
  <c r="C114" i="21"/>
  <c r="B114" i="21"/>
  <c r="C113" i="21"/>
  <c r="B113" i="21"/>
  <c r="C111" i="21"/>
  <c r="B111" i="21"/>
  <c r="C110" i="21"/>
  <c r="B110" i="21"/>
  <c r="C109" i="21"/>
  <c r="B109" i="21"/>
  <c r="C104" i="21"/>
  <c r="B104" i="21"/>
  <c r="C103" i="21"/>
  <c r="B103" i="21"/>
  <c r="C102" i="21"/>
  <c r="B102" i="21"/>
  <c r="C101" i="21"/>
  <c r="B101" i="21"/>
  <c r="C96" i="21"/>
  <c r="B96" i="21"/>
  <c r="C95" i="21"/>
  <c r="B95" i="21"/>
  <c r="C94" i="21"/>
  <c r="B94" i="21"/>
  <c r="C93" i="21"/>
  <c r="B93" i="21"/>
  <c r="C92" i="21"/>
  <c r="B92" i="21"/>
  <c r="C91" i="21"/>
  <c r="B91" i="21"/>
  <c r="B89" i="21"/>
  <c r="B88" i="21"/>
  <c r="C83" i="21"/>
  <c r="B83" i="21"/>
  <c r="C82" i="21"/>
  <c r="B82" i="21"/>
  <c r="C81" i="21"/>
  <c r="B81" i="21"/>
  <c r="C80" i="21"/>
  <c r="B80" i="21"/>
  <c r="C79" i="21"/>
  <c r="B79" i="21"/>
  <c r="C78" i="21"/>
  <c r="B78" i="21"/>
  <c r="C77" i="21"/>
  <c r="B77" i="21"/>
  <c r="C76" i="21"/>
  <c r="B76" i="21"/>
  <c r="C75" i="21"/>
  <c r="B75" i="21"/>
  <c r="C74" i="21"/>
  <c r="B74" i="21"/>
  <c r="C73" i="21"/>
  <c r="B73" i="21"/>
  <c r="C72" i="21"/>
  <c r="B72" i="21"/>
  <c r="C71" i="21"/>
  <c r="B71" i="21"/>
  <c r="C70" i="21"/>
  <c r="B70" i="21"/>
  <c r="C69" i="21"/>
  <c r="B69" i="21"/>
  <c r="C68" i="21"/>
  <c r="B68" i="21"/>
  <c r="C61" i="21"/>
  <c r="B61" i="21"/>
  <c r="C60" i="21"/>
  <c r="B60" i="21"/>
  <c r="C59" i="21"/>
  <c r="B59" i="21"/>
  <c r="C58" i="21"/>
  <c r="B58" i="21"/>
  <c r="C57" i="21"/>
  <c r="B57" i="21"/>
  <c r="C56" i="21"/>
  <c r="B56" i="21"/>
  <c r="C55" i="21"/>
  <c r="B55" i="21"/>
  <c r="C54" i="21"/>
  <c r="B54" i="21"/>
  <c r="C53" i="21"/>
  <c r="B53" i="21"/>
  <c r="C49" i="21"/>
  <c r="B49" i="21"/>
  <c r="C48" i="21"/>
  <c r="B48" i="21"/>
  <c r="C47" i="21"/>
  <c r="B47" i="21"/>
  <c r="C46" i="21"/>
  <c r="B46" i="21"/>
  <c r="C45" i="21"/>
  <c r="B45" i="21"/>
  <c r="C44" i="21"/>
  <c r="B44" i="21"/>
  <c r="C43" i="21"/>
  <c r="B43" i="21"/>
  <c r="C42" i="21"/>
  <c r="B42" i="21"/>
  <c r="C41" i="21"/>
  <c r="B41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3" i="21"/>
  <c r="B13" i="21"/>
  <c r="C12" i="21"/>
  <c r="B12" i="21"/>
  <c r="C11" i="21"/>
  <c r="B11" i="21"/>
  <c r="C10" i="21"/>
  <c r="B10" i="21"/>
  <c r="C9" i="21"/>
  <c r="B9" i="21"/>
  <c r="C8" i="21"/>
  <c r="B8" i="21"/>
  <c r="C7" i="21"/>
  <c r="B7" i="21"/>
  <c r="C6" i="21"/>
  <c r="B6" i="21"/>
  <c r="C5" i="21"/>
  <c r="B5" i="21"/>
  <c r="A3" i="22" l="1"/>
  <c r="A3" i="21"/>
  <c r="A2" i="21"/>
  <c r="D1" i="21"/>
  <c r="C1" i="21"/>
  <c r="A577" i="21" s="1"/>
  <c r="A34" i="21" l="1"/>
  <c r="A114" i="21"/>
  <c r="A250" i="21"/>
  <c r="A306" i="21"/>
  <c r="A178" i="21"/>
  <c r="A376" i="21"/>
  <c r="A443" i="21"/>
  <c r="A42" i="21"/>
  <c r="A122" i="21"/>
  <c r="A186" i="21"/>
  <c r="A258" i="21"/>
  <c r="A314" i="21"/>
  <c r="A384" i="21"/>
  <c r="A574" i="21"/>
  <c r="A578" i="21"/>
  <c r="A50" i="21"/>
  <c r="A130" i="21"/>
  <c r="A194" i="21"/>
  <c r="A266" i="21"/>
  <c r="A328" i="21"/>
  <c r="A392" i="21"/>
  <c r="A441" i="21"/>
  <c r="A58" i="21"/>
  <c r="A138" i="21"/>
  <c r="A202" i="21"/>
  <c r="A274" i="21"/>
  <c r="A336" i="21"/>
  <c r="A400" i="21"/>
  <c r="A444" i="21"/>
  <c r="A575" i="21"/>
  <c r="A579" i="21"/>
  <c r="A554" i="21"/>
  <c r="A66" i="21"/>
  <c r="A146" i="21"/>
  <c r="A218" i="21"/>
  <c r="A278" i="21"/>
  <c r="A344" i="21"/>
  <c r="A408" i="21"/>
  <c r="A319" i="21"/>
  <c r="A442" i="21"/>
  <c r="A576" i="21"/>
  <c r="A580" i="21"/>
  <c r="A10" i="21"/>
  <c r="A74" i="21"/>
  <c r="A154" i="21"/>
  <c r="A226" i="21"/>
  <c r="A282" i="21"/>
  <c r="A352" i="21"/>
  <c r="A18" i="21"/>
  <c r="A82" i="21"/>
  <c r="A162" i="21"/>
  <c r="A234" i="21"/>
  <c r="A290" i="21"/>
  <c r="A360" i="21"/>
  <c r="A318" i="21"/>
  <c r="A445" i="21"/>
  <c r="A26" i="21"/>
  <c r="A98" i="21"/>
  <c r="A170" i="21"/>
  <c r="A242" i="21"/>
  <c r="A298" i="21"/>
  <c r="A368" i="21"/>
  <c r="A317" i="21"/>
  <c r="A432" i="21"/>
  <c r="A450" i="21"/>
  <c r="A510" i="21"/>
  <c r="A518" i="21"/>
  <c r="A525" i="21"/>
  <c r="A533" i="21"/>
  <c r="A541" i="21"/>
  <c r="A549" i="21"/>
  <c r="A5" i="21"/>
  <c r="A13" i="21"/>
  <c r="A21" i="21"/>
  <c r="A29" i="21"/>
  <c r="A37" i="21"/>
  <c r="A45" i="21"/>
  <c r="A53" i="21"/>
  <c r="A61" i="21"/>
  <c r="A69" i="21"/>
  <c r="A77" i="21"/>
  <c r="A85" i="21"/>
  <c r="A89" i="21"/>
  <c r="A93" i="21"/>
  <c r="A109" i="21"/>
  <c r="A117" i="21"/>
  <c r="A125" i="21"/>
  <c r="A133" i="21"/>
  <c r="A141" i="21"/>
  <c r="A149" i="21"/>
  <c r="A157" i="21"/>
  <c r="A165" i="21"/>
  <c r="A173" i="21"/>
  <c r="A181" i="21"/>
  <c r="A189" i="21"/>
  <c r="A197" i="21"/>
  <c r="A205" i="21"/>
  <c r="A213" i="21"/>
  <c r="A221" i="21"/>
  <c r="A229" i="21"/>
  <c r="A237" i="21"/>
  <c r="A245" i="21"/>
  <c r="A253" i="21"/>
  <c r="A261" i="21"/>
  <c r="A269" i="21"/>
  <c r="A285" i="21"/>
  <c r="A293" i="21"/>
  <c r="A301" i="21"/>
  <c r="A309" i="21"/>
  <c r="A323" i="21"/>
  <c r="A331" i="21"/>
  <c r="A339" i="21"/>
  <c r="A347" i="21"/>
  <c r="A355" i="21"/>
  <c r="A363" i="21"/>
  <c r="A371" i="21"/>
  <c r="A379" i="21"/>
  <c r="A387" i="21"/>
  <c r="A395" i="21"/>
  <c r="A403" i="21"/>
  <c r="A411" i="21"/>
  <c r="A419" i="21"/>
  <c r="A427" i="21"/>
  <c r="A435" i="21"/>
  <c r="A453" i="21"/>
  <c r="A461" i="21"/>
  <c r="A469" i="21"/>
  <c r="A477" i="21"/>
  <c r="A485" i="21"/>
  <c r="A493" i="21"/>
  <c r="A505" i="21"/>
  <c r="A513" i="21"/>
  <c r="A528" i="21"/>
  <c r="A536" i="21"/>
  <c r="A544" i="21"/>
  <c r="A552" i="21"/>
  <c r="A424" i="21"/>
  <c r="A474" i="21"/>
  <c r="A482" i="21"/>
  <c r="A490" i="21"/>
  <c r="A498" i="21"/>
  <c r="A570" i="21"/>
  <c r="A8" i="21"/>
  <c r="A16" i="21"/>
  <c r="A24" i="21"/>
  <c r="A32" i="21"/>
  <c r="A40" i="21"/>
  <c r="A48" i="21"/>
  <c r="A56" i="21"/>
  <c r="A64" i="21"/>
  <c r="A72" i="21"/>
  <c r="A80" i="21"/>
  <c r="A96" i="21"/>
  <c r="A102" i="21"/>
  <c r="A104" i="21"/>
  <c r="A106" i="21"/>
  <c r="A112" i="21"/>
  <c r="A120" i="21"/>
  <c r="A128" i="21"/>
  <c r="A136" i="21"/>
  <c r="A144" i="21"/>
  <c r="A152" i="21"/>
  <c r="A160" i="21"/>
  <c r="A168" i="21"/>
  <c r="A176" i="21"/>
  <c r="A184" i="21"/>
  <c r="A192" i="21"/>
  <c r="A200" i="21"/>
  <c r="A208" i="21"/>
  <c r="A216" i="21"/>
  <c r="A224" i="21"/>
  <c r="A232" i="21"/>
  <c r="A240" i="21"/>
  <c r="A248" i="21"/>
  <c r="A256" i="21"/>
  <c r="A264" i="21"/>
  <c r="A272" i="21"/>
  <c r="A280" i="21"/>
  <c r="A288" i="21"/>
  <c r="A296" i="21"/>
  <c r="A304" i="21"/>
  <c r="A312" i="21"/>
  <c r="A326" i="21"/>
  <c r="A334" i="21"/>
  <c r="A342" i="21"/>
  <c r="A350" i="21"/>
  <c r="A358" i="21"/>
  <c r="A366" i="21"/>
  <c r="A374" i="21"/>
  <c r="A382" i="21"/>
  <c r="A390" i="21"/>
  <c r="A398" i="21"/>
  <c r="A406" i="21"/>
  <c r="A414" i="21"/>
  <c r="A422" i="21"/>
  <c r="A430" i="21"/>
  <c r="A438" i="21"/>
  <c r="A448" i="21"/>
  <c r="A456" i="21"/>
  <c r="A464" i="21"/>
  <c r="A472" i="21"/>
  <c r="A480" i="21"/>
  <c r="A488" i="21"/>
  <c r="A496" i="21"/>
  <c r="A508" i="21"/>
  <c r="A516" i="21"/>
  <c r="A523" i="21"/>
  <c r="A531" i="21"/>
  <c r="A539" i="21"/>
  <c r="A547" i="21"/>
  <c r="A556" i="21"/>
  <c r="A559" i="21"/>
  <c r="A563" i="21"/>
  <c r="A567" i="21"/>
  <c r="A571" i="21"/>
  <c r="A416" i="21"/>
  <c r="A458" i="21"/>
  <c r="A11" i="21"/>
  <c r="A19" i="21"/>
  <c r="A27" i="21"/>
  <c r="A35" i="21"/>
  <c r="A43" i="21"/>
  <c r="A51" i="21"/>
  <c r="A59" i="21"/>
  <c r="A67" i="21"/>
  <c r="A75" i="21"/>
  <c r="A83" i="21"/>
  <c r="A91" i="21"/>
  <c r="A99" i="21"/>
  <c r="A115" i="21"/>
  <c r="A123" i="21"/>
  <c r="A131" i="21"/>
  <c r="A139" i="21"/>
  <c r="A147" i="21"/>
  <c r="A155" i="21"/>
  <c r="A163" i="21"/>
  <c r="A171" i="21"/>
  <c r="A179" i="21"/>
  <c r="A187" i="21"/>
  <c r="A195" i="21"/>
  <c r="A203" i="21"/>
  <c r="A219" i="21"/>
  <c r="A227" i="21"/>
  <c r="A235" i="21"/>
  <c r="A243" i="21"/>
  <c r="A251" i="21"/>
  <c r="A259" i="21"/>
  <c r="A267" i="21"/>
  <c r="A275" i="21"/>
  <c r="A283" i="21"/>
  <c r="A291" i="21"/>
  <c r="A299" i="21"/>
  <c r="A307" i="21"/>
  <c r="A315" i="21"/>
  <c r="A321" i="21"/>
  <c r="A329" i="21"/>
  <c r="A337" i="21"/>
  <c r="A345" i="21"/>
  <c r="A353" i="21"/>
  <c r="A361" i="21"/>
  <c r="A369" i="21"/>
  <c r="A377" i="21"/>
  <c r="A385" i="21"/>
  <c r="A393" i="21"/>
  <c r="A401" i="21"/>
  <c r="A409" i="21"/>
  <c r="A417" i="21"/>
  <c r="A425" i="21"/>
  <c r="A433" i="21"/>
  <c r="A451" i="21"/>
  <c r="A459" i="21"/>
  <c r="A467" i="21"/>
  <c r="A475" i="21"/>
  <c r="A483" i="21"/>
  <c r="A491" i="21"/>
  <c r="A500" i="21"/>
  <c r="A503" i="21"/>
  <c r="A511" i="21"/>
  <c r="A519" i="21"/>
  <c r="A526" i="21"/>
  <c r="A534" i="21"/>
  <c r="A542" i="21"/>
  <c r="A550" i="21"/>
  <c r="A466" i="21"/>
  <c r="A566" i="21"/>
  <c r="A6" i="21"/>
  <c r="A14" i="21"/>
  <c r="A22" i="21"/>
  <c r="A30" i="21"/>
  <c r="A38" i="21"/>
  <c r="A46" i="21"/>
  <c r="A54" i="21"/>
  <c r="A62" i="21"/>
  <c r="A70" i="21"/>
  <c r="A78" i="21"/>
  <c r="A86" i="21"/>
  <c r="A94" i="21"/>
  <c r="A110" i="21"/>
  <c r="A118" i="21"/>
  <c r="A126" i="21"/>
  <c r="A134" i="21"/>
  <c r="A142" i="21"/>
  <c r="A150" i="21"/>
  <c r="A158" i="21"/>
  <c r="A166" i="21"/>
  <c r="A174" i="21"/>
  <c r="A182" i="21"/>
  <c r="A190" i="21"/>
  <c r="A198" i="21"/>
  <c r="A206" i="21"/>
  <c r="A214" i="21"/>
  <c r="A222" i="21"/>
  <c r="A230" i="21"/>
  <c r="A238" i="21"/>
  <c r="A246" i="21"/>
  <c r="A254" i="21"/>
  <c r="A262" i="21"/>
  <c r="A270" i="21"/>
  <c r="A286" i="21"/>
  <c r="A294" i="21"/>
  <c r="A302" i="21"/>
  <c r="A310" i="21"/>
  <c r="A324" i="21"/>
  <c r="A332" i="21"/>
  <c r="A340" i="21"/>
  <c r="A348" i="21"/>
  <c r="A356" i="21"/>
  <c r="A364" i="21"/>
  <c r="A372" i="21"/>
  <c r="A380" i="21"/>
  <c r="A388" i="21"/>
  <c r="A396" i="21"/>
  <c r="A404" i="21"/>
  <c r="A412" i="21"/>
  <c r="A420" i="21"/>
  <c r="A428" i="21"/>
  <c r="A436" i="21"/>
  <c r="A454" i="21"/>
  <c r="A462" i="21"/>
  <c r="A470" i="21"/>
  <c r="A478" i="21"/>
  <c r="A486" i="21"/>
  <c r="A494" i="21"/>
  <c r="A506" i="21"/>
  <c r="A514" i="21"/>
  <c r="A529" i="21"/>
  <c r="A537" i="21"/>
  <c r="A545" i="21"/>
  <c r="A553" i="21"/>
  <c r="A560" i="21"/>
  <c r="A564" i="21"/>
  <c r="A568" i="21"/>
  <c r="A572" i="21"/>
  <c r="A9" i="21"/>
  <c r="A17" i="21"/>
  <c r="A25" i="21"/>
  <c r="A33" i="21"/>
  <c r="A41" i="21"/>
  <c r="A49" i="21"/>
  <c r="A57" i="21"/>
  <c r="A65" i="21"/>
  <c r="A73" i="21"/>
  <c r="A81" i="21"/>
  <c r="A97" i="21"/>
  <c r="A113" i="21"/>
  <c r="A121" i="21"/>
  <c r="A129" i="21"/>
  <c r="A137" i="21"/>
  <c r="A145" i="21"/>
  <c r="A153" i="21"/>
  <c r="A161" i="21"/>
  <c r="A169" i="21"/>
  <c r="A177" i="21"/>
  <c r="A185" i="21"/>
  <c r="A193" i="21"/>
  <c r="A201" i="21"/>
  <c r="A210" i="21"/>
  <c r="A217" i="21"/>
  <c r="A225" i="21"/>
  <c r="A233" i="21"/>
  <c r="A241" i="21"/>
  <c r="A249" i="21"/>
  <c r="A257" i="21"/>
  <c r="A265" i="21"/>
  <c r="A273" i="21"/>
  <c r="A281" i="21"/>
  <c r="A289" i="21"/>
  <c r="A297" i="21"/>
  <c r="A305" i="21"/>
  <c r="A313" i="21"/>
  <c r="A327" i="21"/>
  <c r="A335" i="21"/>
  <c r="A343" i="21"/>
  <c r="A351" i="21"/>
  <c r="A359" i="21"/>
  <c r="A367" i="21"/>
  <c r="A375" i="21"/>
  <c r="A383" i="21"/>
  <c r="A391" i="21"/>
  <c r="A399" i="21"/>
  <c r="A407" i="21"/>
  <c r="A415" i="21"/>
  <c r="A423" i="21"/>
  <c r="A431" i="21"/>
  <c r="A439" i="21"/>
  <c r="A449" i="21"/>
  <c r="A457" i="21"/>
  <c r="A465" i="21"/>
  <c r="A473" i="21"/>
  <c r="A481" i="21"/>
  <c r="A489" i="21"/>
  <c r="A497" i="21"/>
  <c r="A509" i="21"/>
  <c r="A517" i="21"/>
  <c r="A524" i="21"/>
  <c r="A532" i="21"/>
  <c r="A540" i="21"/>
  <c r="A548" i="21"/>
  <c r="A562" i="21"/>
  <c r="A12" i="21"/>
  <c r="A20" i="21"/>
  <c r="A28" i="21"/>
  <c r="A36" i="21"/>
  <c r="A44" i="21"/>
  <c r="A52" i="21"/>
  <c r="A60" i="21"/>
  <c r="A68" i="21"/>
  <c r="A76" i="21"/>
  <c r="A84" i="21"/>
  <c r="A92" i="21"/>
  <c r="A101" i="21"/>
  <c r="A103" i="21"/>
  <c r="A105" i="21"/>
  <c r="A108" i="21"/>
  <c r="A116" i="21"/>
  <c r="A124" i="21"/>
  <c r="A132" i="21"/>
  <c r="A140" i="21"/>
  <c r="A148" i="21"/>
  <c r="A156" i="21"/>
  <c r="A164" i="21"/>
  <c r="A172" i="21"/>
  <c r="A180" i="21"/>
  <c r="A188" i="21"/>
  <c r="A196" i="21"/>
  <c r="A204" i="21"/>
  <c r="A220" i="21"/>
  <c r="A228" i="21"/>
  <c r="A236" i="21"/>
  <c r="A244" i="21"/>
  <c r="A252" i="21"/>
  <c r="A260" i="21"/>
  <c r="A268" i="21"/>
  <c r="A277" i="21"/>
  <c r="A284" i="21"/>
  <c r="A292" i="21"/>
  <c r="A300" i="21"/>
  <c r="A308" i="21"/>
  <c r="A322" i="21"/>
  <c r="A330" i="21"/>
  <c r="A338" i="21"/>
  <c r="A346" i="21"/>
  <c r="A354" i="21"/>
  <c r="A362" i="21"/>
  <c r="A370" i="21"/>
  <c r="A378" i="21"/>
  <c r="A386" i="21"/>
  <c r="A394" i="21"/>
  <c r="A402" i="21"/>
  <c r="A410" i="21"/>
  <c r="A418" i="21"/>
  <c r="A426" i="21"/>
  <c r="A434" i="21"/>
  <c r="A452" i="21"/>
  <c r="A460" i="21"/>
  <c r="A468" i="21"/>
  <c r="A476" i="21"/>
  <c r="A484" i="21"/>
  <c r="A492" i="21"/>
  <c r="A504" i="21"/>
  <c r="A512" i="21"/>
  <c r="A521" i="21"/>
  <c r="A527" i="21"/>
  <c r="A535" i="21"/>
  <c r="A543" i="21"/>
  <c r="A551" i="21"/>
  <c r="A557" i="21"/>
  <c r="A561" i="21"/>
  <c r="A565" i="21"/>
  <c r="A569" i="21"/>
  <c r="A573" i="21"/>
  <c r="A581" i="21"/>
  <c r="A7" i="21"/>
  <c r="A15" i="21"/>
  <c r="A23" i="21"/>
  <c r="A31" i="21"/>
  <c r="A39" i="21"/>
  <c r="A47" i="21"/>
  <c r="A55" i="21"/>
  <c r="A63" i="21"/>
  <c r="A71" i="21"/>
  <c r="A79" i="21"/>
  <c r="A88" i="21"/>
  <c r="A95" i="21"/>
  <c r="A111" i="21"/>
  <c r="A119" i="21"/>
  <c r="A127" i="21"/>
  <c r="A135" i="21"/>
  <c r="A143" i="21"/>
  <c r="A151" i="21"/>
  <c r="A159" i="21"/>
  <c r="A167" i="21"/>
  <c r="A175" i="21"/>
  <c r="A183" i="21"/>
  <c r="A191" i="21"/>
  <c r="A199" i="21"/>
  <c r="A207" i="21"/>
  <c r="A211" i="21"/>
  <c r="A215" i="21"/>
  <c r="A223" i="21"/>
  <c r="A231" i="21"/>
  <c r="A239" i="21"/>
  <c r="A247" i="21"/>
  <c r="A255" i="21"/>
  <c r="A263" i="21"/>
  <c r="A271" i="21"/>
  <c r="A287" i="21"/>
  <c r="A295" i="21"/>
  <c r="A303" i="21"/>
  <c r="A311" i="21"/>
  <c r="A325" i="21"/>
  <c r="A333" i="21"/>
  <c r="A341" i="21"/>
  <c r="A349" i="21"/>
  <c r="A357" i="21"/>
  <c r="A365" i="21"/>
  <c r="A373" i="21"/>
  <c r="A381" i="21"/>
  <c r="A389" i="21"/>
  <c r="A397" i="21"/>
  <c r="A405" i="21"/>
  <c r="A413" i="21"/>
  <c r="A421" i="21"/>
  <c r="A429" i="21"/>
  <c r="A437" i="21"/>
  <c r="A447" i="21"/>
  <c r="A455" i="21"/>
  <c r="A463" i="21"/>
  <c r="A471" i="21"/>
  <c r="A479" i="21"/>
  <c r="A487" i="21"/>
  <c r="A495" i="21"/>
  <c r="A501" i="21"/>
  <c r="A507" i="21"/>
  <c r="A515" i="21"/>
  <c r="A530" i="21"/>
  <c r="A538" i="21"/>
  <c r="A546" i="21"/>
  <c r="B9" i="15"/>
  <c r="K9" i="14"/>
  <c r="J9" i="14"/>
  <c r="K11" i="16"/>
  <c r="J11" i="16"/>
  <c r="J9" i="15"/>
  <c r="I9" i="15"/>
  <c r="J11" i="12"/>
  <c r="I11" i="12"/>
  <c r="L11" i="13"/>
  <c r="K11" i="13"/>
  <c r="K9" i="10"/>
  <c r="J9" i="10"/>
  <c r="H11" i="11"/>
  <c r="G11" i="11"/>
  <c r="M12" i="7"/>
  <c r="L12" i="7"/>
  <c r="Q12" i="6"/>
  <c r="P12" i="6"/>
  <c r="R12" i="5"/>
  <c r="Q12" i="5"/>
  <c r="R11" i="4"/>
  <c r="Q11" i="4"/>
  <c r="O9" i="3"/>
  <c r="N9" i="3"/>
  <c r="P11" i="2"/>
  <c r="Q11" i="2"/>
  <c r="G65" i="11" l="1"/>
  <c r="B445" i="21" l="1"/>
  <c r="B418" i="17"/>
  <c r="C445" i="21"/>
  <c r="C418" i="17"/>
  <c r="A2" i="17"/>
  <c r="A3" i="17" l="1"/>
  <c r="B9" i="14" l="1"/>
  <c r="B11" i="16"/>
  <c r="B11" i="12"/>
  <c r="C11" i="13"/>
  <c r="C9" i="10"/>
  <c r="B11" i="11"/>
  <c r="C12" i="7"/>
  <c r="C12" i="6"/>
  <c r="C12" i="5"/>
  <c r="C11" i="4"/>
  <c r="B9" i="3"/>
  <c r="C11" i="2"/>
  <c r="C1" i="17"/>
  <c r="C11" i="1"/>
  <c r="H45" i="3" l="1"/>
  <c r="B108" i="21" l="1"/>
  <c r="B97" i="17"/>
  <c r="A548" i="17"/>
  <c r="A547" i="17"/>
  <c r="A546" i="17"/>
  <c r="A545" i="17"/>
  <c r="A544" i="17"/>
  <c r="A543" i="17"/>
  <c r="A542" i="17"/>
  <c r="A418" i="17" l="1"/>
  <c r="A417" i="17"/>
  <c r="A416" i="17"/>
  <c r="A415" i="17"/>
  <c r="A414" i="17"/>
  <c r="A292" i="17"/>
  <c r="A291" i="17"/>
  <c r="A290" i="17"/>
  <c r="D1" i="17"/>
  <c r="A498" i="17"/>
  <c r="A541" i="17"/>
  <c r="A534" i="17"/>
  <c r="A530" i="17"/>
  <c r="A529" i="17"/>
  <c r="A525" i="17"/>
  <c r="A517" i="17"/>
  <c r="A506" i="17"/>
  <c r="A503" i="17"/>
  <c r="A493" i="17"/>
  <c r="A488" i="17"/>
  <c r="A483" i="17"/>
  <c r="A472" i="17"/>
  <c r="A468" i="17"/>
  <c r="A458" i="17"/>
  <c r="A455" i="17"/>
  <c r="A447" i="17"/>
  <c r="A436" i="17"/>
  <c r="A426" i="17"/>
  <c r="A423" i="17"/>
  <c r="A420" i="17"/>
  <c r="A402" i="17"/>
  <c r="A392" i="17"/>
  <c r="A389" i="17"/>
  <c r="A384" i="17"/>
  <c r="A381" i="17"/>
  <c r="A371" i="17"/>
  <c r="A355" i="17"/>
  <c r="A352" i="17"/>
  <c r="A339" i="17"/>
  <c r="A336" i="17"/>
  <c r="A313" i="17"/>
  <c r="A307" i="17"/>
  <c r="A304" i="17"/>
  <c r="A301" i="17"/>
  <c r="A298" i="17"/>
  <c r="A285" i="17"/>
  <c r="A283" i="17"/>
  <c r="A282" i="17"/>
  <c r="A279" i="17"/>
  <c r="A277" i="17"/>
  <c r="A276" i="17"/>
  <c r="A274" i="17"/>
  <c r="A269" i="17"/>
  <c r="A267" i="17"/>
  <c r="A263" i="17"/>
  <c r="A260" i="17"/>
  <c r="A258" i="17"/>
  <c r="A253" i="17"/>
  <c r="A247" i="17"/>
  <c r="A245" i="17"/>
  <c r="A244" i="17"/>
  <c r="A239" i="17"/>
  <c r="A235" i="17"/>
  <c r="A227" i="17"/>
  <c r="A221" i="17"/>
  <c r="A218" i="17"/>
  <c r="A215" i="17"/>
  <c r="A212" i="17"/>
  <c r="A207" i="17"/>
  <c r="A204" i="17"/>
  <c r="A197" i="17"/>
  <c r="A193" i="17"/>
  <c r="A192" i="17"/>
  <c r="A188" i="17"/>
  <c r="A186" i="17"/>
  <c r="A178" i="17"/>
  <c r="A170" i="17"/>
  <c r="A167" i="17"/>
  <c r="A165" i="17"/>
  <c r="A164" i="17"/>
  <c r="A155" i="17"/>
  <c r="A154" i="17"/>
  <c r="A147" i="17"/>
  <c r="A141" i="17"/>
  <c r="A138" i="17"/>
  <c r="A135" i="17"/>
  <c r="A132" i="17"/>
  <c r="A131" i="17"/>
  <c r="A123" i="17"/>
  <c r="A122" i="17"/>
  <c r="A115" i="17"/>
  <c r="A109" i="17"/>
  <c r="A106" i="17"/>
  <c r="A103" i="17"/>
  <c r="A100" i="17"/>
  <c r="A99" i="17"/>
  <c r="A95" i="17"/>
  <c r="A93" i="17"/>
  <c r="A89" i="17"/>
  <c r="A87" i="17"/>
  <c r="A86" i="17"/>
  <c r="A82" i="17"/>
  <c r="A78" i="17"/>
  <c r="A77" i="17"/>
  <c r="A71" i="17"/>
  <c r="A69" i="17"/>
  <c r="A68" i="17"/>
  <c r="A65" i="17"/>
  <c r="A63" i="17"/>
  <c r="A57" i="17"/>
  <c r="A54" i="17"/>
  <c r="A53" i="17"/>
  <c r="A52" i="17"/>
  <c r="A47" i="17"/>
  <c r="A39" i="17"/>
  <c r="A38" i="17"/>
  <c r="A36" i="17"/>
  <c r="A33" i="17"/>
  <c r="A31" i="17"/>
  <c r="A23" i="17"/>
  <c r="A22" i="17"/>
  <c r="A21" i="17"/>
  <c r="A20" i="17"/>
  <c r="A17" i="17"/>
  <c r="A12" i="17"/>
  <c r="A9" i="17"/>
  <c r="A7" i="17"/>
  <c r="A6" i="17"/>
  <c r="A5" i="17"/>
  <c r="I31" i="14"/>
  <c r="I43" i="14"/>
  <c r="D53" i="16"/>
  <c r="B554" i="21" s="1"/>
  <c r="B227" i="22" s="1"/>
  <c r="H53" i="16"/>
  <c r="C554" i="21" s="1"/>
  <c r="B228" i="22" s="1"/>
  <c r="H51" i="15"/>
  <c r="C538" i="21" s="1"/>
  <c r="B222" i="22" s="1"/>
  <c r="E51" i="15"/>
  <c r="B538" i="21" s="1"/>
  <c r="B221" i="22" s="1"/>
  <c r="H55" i="12"/>
  <c r="C519" i="21" s="1"/>
  <c r="B216" i="22" s="1"/>
  <c r="D55" i="12"/>
  <c r="B519" i="21" s="1"/>
  <c r="B215" i="22" s="1"/>
  <c r="I73" i="13"/>
  <c r="C498" i="21" s="1"/>
  <c r="B210" i="22" s="1"/>
  <c r="E73" i="13"/>
  <c r="B498" i="21" s="1"/>
  <c r="B209" i="22" s="1"/>
  <c r="D71" i="10"/>
  <c r="B472" i="21" s="1"/>
  <c r="B203" i="22" s="1"/>
  <c r="I71" i="10"/>
  <c r="C472" i="21" s="1"/>
  <c r="B204" i="22" s="1"/>
  <c r="D69" i="11"/>
  <c r="G69" i="11"/>
  <c r="K54" i="9"/>
  <c r="I54" i="9"/>
  <c r="G54" i="9"/>
  <c r="E54" i="9"/>
  <c r="K61" i="8"/>
  <c r="I61" i="8"/>
  <c r="G61" i="8"/>
  <c r="E61" i="8"/>
  <c r="L62" i="7"/>
  <c r="J62" i="7"/>
  <c r="H62" i="7"/>
  <c r="D53" i="6"/>
  <c r="F53" i="6"/>
  <c r="H53" i="6"/>
  <c r="B313" i="21" s="1"/>
  <c r="B191" i="22" s="1"/>
  <c r="J53" i="6"/>
  <c r="C313" i="21" s="1"/>
  <c r="B192" i="22" s="1"/>
  <c r="L53" i="6"/>
  <c r="B314" i="21" s="1"/>
  <c r="B194" i="22" s="1"/>
  <c r="N53" i="6"/>
  <c r="C314" i="21" s="1"/>
  <c r="B195" i="22" s="1"/>
  <c r="P53" i="6"/>
  <c r="B315" i="21" s="1"/>
  <c r="B197" i="22" s="1"/>
  <c r="R53" i="6"/>
  <c r="C315" i="21" s="1"/>
  <c r="B198" i="22" s="1"/>
  <c r="Q60" i="5"/>
  <c r="C275" i="21" s="1"/>
  <c r="B186" i="22" s="1"/>
  <c r="O60" i="5"/>
  <c r="B275" i="21" s="1"/>
  <c r="B185" i="22" s="1"/>
  <c r="M60" i="5"/>
  <c r="C274" i="21" s="1"/>
  <c r="B184" i="22" s="1"/>
  <c r="K60" i="5"/>
  <c r="B274" i="21" s="1"/>
  <c r="B183" i="22" s="1"/>
  <c r="I60" i="5"/>
  <c r="C273" i="21" s="1"/>
  <c r="B182" i="22" s="1"/>
  <c r="G60" i="5"/>
  <c r="B273" i="21" s="1"/>
  <c r="B181" i="22" s="1"/>
  <c r="E60" i="5"/>
  <c r="C60" i="5"/>
  <c r="Q40" i="5"/>
  <c r="O40" i="5"/>
  <c r="M40" i="5"/>
  <c r="K40" i="5"/>
  <c r="I40" i="5"/>
  <c r="G40" i="5"/>
  <c r="E40" i="5"/>
  <c r="C40" i="5"/>
  <c r="Q36" i="5"/>
  <c r="O36" i="5"/>
  <c r="M36" i="5"/>
  <c r="K36" i="5"/>
  <c r="I36" i="5"/>
  <c r="G36" i="5"/>
  <c r="E36" i="5"/>
  <c r="C36" i="5"/>
  <c r="Q31" i="5"/>
  <c r="O31" i="5"/>
  <c r="M31" i="5"/>
  <c r="K31" i="5"/>
  <c r="I31" i="5"/>
  <c r="G31" i="5"/>
  <c r="E31" i="5"/>
  <c r="C31" i="5"/>
  <c r="Q26" i="5"/>
  <c r="O26" i="5"/>
  <c r="M26" i="5"/>
  <c r="K26" i="5"/>
  <c r="I26" i="5"/>
  <c r="G26" i="5"/>
  <c r="E26" i="5"/>
  <c r="C26" i="5"/>
  <c r="Q21" i="5"/>
  <c r="O21" i="5"/>
  <c r="M21" i="5"/>
  <c r="K21" i="5"/>
  <c r="I21" i="5"/>
  <c r="G21" i="5"/>
  <c r="E21" i="5"/>
  <c r="C21" i="5"/>
  <c r="Q71" i="4"/>
  <c r="C208" i="21" s="1"/>
  <c r="B134" i="22" s="1"/>
  <c r="O71" i="4"/>
  <c r="B208" i="21" s="1"/>
  <c r="B133" i="22" s="1"/>
  <c r="M71" i="4"/>
  <c r="C207" i="21" s="1"/>
  <c r="B132" i="22" s="1"/>
  <c r="K71" i="4"/>
  <c r="B207" i="21" s="1"/>
  <c r="B131" i="22" s="1"/>
  <c r="I71" i="4"/>
  <c r="C206" i="21" s="1"/>
  <c r="B130" i="22" s="1"/>
  <c r="G71" i="4"/>
  <c r="B206" i="21" s="1"/>
  <c r="B129" i="22" s="1"/>
  <c r="E71" i="4"/>
  <c r="C71" i="4"/>
  <c r="Q47" i="4"/>
  <c r="O47" i="4"/>
  <c r="M47" i="4"/>
  <c r="K47" i="4"/>
  <c r="I47" i="4"/>
  <c r="G47" i="4"/>
  <c r="E47" i="4"/>
  <c r="C47" i="4"/>
  <c r="Q41" i="4"/>
  <c r="O41" i="4"/>
  <c r="M41" i="4"/>
  <c r="K41" i="4"/>
  <c r="I41" i="4"/>
  <c r="G41" i="4"/>
  <c r="E41" i="4"/>
  <c r="C41" i="4"/>
  <c r="Q34" i="4"/>
  <c r="O34" i="4"/>
  <c r="M34" i="4"/>
  <c r="K34" i="4"/>
  <c r="I34" i="4"/>
  <c r="G34" i="4"/>
  <c r="E34" i="4"/>
  <c r="C34" i="4"/>
  <c r="Q27" i="4"/>
  <c r="O27" i="4"/>
  <c r="M27" i="4"/>
  <c r="K27" i="4"/>
  <c r="I27" i="4"/>
  <c r="G27" i="4"/>
  <c r="E27" i="4"/>
  <c r="C27" i="4"/>
  <c r="Q20" i="4"/>
  <c r="O20" i="4"/>
  <c r="M20" i="4"/>
  <c r="K20" i="4"/>
  <c r="I20" i="4"/>
  <c r="G20" i="4"/>
  <c r="E20" i="4"/>
  <c r="C20" i="4"/>
  <c r="L45" i="3"/>
  <c r="H55" i="3"/>
  <c r="B112" i="21" s="1"/>
  <c r="B81" i="22" s="1"/>
  <c r="N37" i="3"/>
  <c r="D106" i="21" s="1"/>
  <c r="B79" i="22" s="1"/>
  <c r="L37" i="3"/>
  <c r="C106" i="21" s="1"/>
  <c r="B78" i="22" s="1"/>
  <c r="J37" i="3"/>
  <c r="B106" i="21" s="1"/>
  <c r="B77" i="22" s="1"/>
  <c r="F37" i="3"/>
  <c r="D105" i="21" s="1"/>
  <c r="B75" i="22" s="1"/>
  <c r="D37" i="3"/>
  <c r="C105" i="21" s="1"/>
  <c r="B74" i="22" s="1"/>
  <c r="B37" i="3"/>
  <c r="B105" i="21" s="1"/>
  <c r="B73" i="22" s="1"/>
  <c r="C99" i="21"/>
  <c r="B71" i="22" s="1"/>
  <c r="N23" i="3"/>
  <c r="B99" i="21" s="1"/>
  <c r="B70" i="22" s="1"/>
  <c r="L23" i="3"/>
  <c r="C98" i="21" s="1"/>
  <c r="B68" i="22" s="1"/>
  <c r="J23" i="3"/>
  <c r="B98" i="21" s="1"/>
  <c r="B67" i="22" s="1"/>
  <c r="H23" i="3"/>
  <c r="C97" i="21" s="1"/>
  <c r="B65" i="22" s="1"/>
  <c r="F23" i="3"/>
  <c r="B97" i="21" s="1"/>
  <c r="B64" i="22" s="1"/>
  <c r="D23" i="3"/>
  <c r="B23" i="3"/>
  <c r="Q40" i="2"/>
  <c r="C86" i="21" s="1"/>
  <c r="B59" i="22" s="1"/>
  <c r="O40" i="2"/>
  <c r="B86" i="21" s="1"/>
  <c r="B58" i="22" s="1"/>
  <c r="M40" i="2"/>
  <c r="C85" i="21" s="1"/>
  <c r="B56" i="22" s="1"/>
  <c r="K40" i="2"/>
  <c r="B85" i="21" s="1"/>
  <c r="B55" i="22" s="1"/>
  <c r="I40" i="2"/>
  <c r="C84" i="21" s="1"/>
  <c r="B53" i="22" s="1"/>
  <c r="G40" i="2"/>
  <c r="B84" i="21" s="1"/>
  <c r="B52" i="22" s="1"/>
  <c r="E40" i="2"/>
  <c r="C40" i="2"/>
  <c r="B541" i="17" l="1"/>
  <c r="B573" i="21"/>
  <c r="B535" i="17"/>
  <c r="B567" i="21"/>
  <c r="C237" i="17"/>
  <c r="C255" i="21"/>
  <c r="B168" i="22" s="1"/>
  <c r="B238" i="17"/>
  <c r="B256" i="21"/>
  <c r="B169" i="22" s="1"/>
  <c r="B239" i="17"/>
  <c r="B257" i="21"/>
  <c r="B171" i="22" s="1"/>
  <c r="C239" i="17"/>
  <c r="C257" i="21"/>
  <c r="B172" i="22" s="1"/>
  <c r="C238" i="17"/>
  <c r="C256" i="21"/>
  <c r="B170" i="22" s="1"/>
  <c r="B237" i="17"/>
  <c r="B255" i="21"/>
  <c r="B167" i="22" s="1"/>
  <c r="C246" i="21"/>
  <c r="B161" i="22" s="1"/>
  <c r="C228" i="17"/>
  <c r="B247" i="21"/>
  <c r="B162" i="22" s="1"/>
  <c r="B229" i="17"/>
  <c r="C247" i="21"/>
  <c r="B163" i="22" s="1"/>
  <c r="C229" i="17"/>
  <c r="C230" i="17"/>
  <c r="C248" i="21"/>
  <c r="B165" i="22" s="1"/>
  <c r="B246" i="21"/>
  <c r="B160" i="22" s="1"/>
  <c r="B228" i="17"/>
  <c r="B248" i="21"/>
  <c r="B164" i="22" s="1"/>
  <c r="B230" i="17"/>
  <c r="B219" i="17"/>
  <c r="B237" i="21"/>
  <c r="B153" i="22" s="1"/>
  <c r="C237" i="21"/>
  <c r="B154" i="22" s="1"/>
  <c r="C219" i="17"/>
  <c r="B238" i="21"/>
  <c r="B155" i="22" s="1"/>
  <c r="B220" i="17"/>
  <c r="C238" i="21"/>
  <c r="B156" i="22" s="1"/>
  <c r="C220" i="17"/>
  <c r="B239" i="21"/>
  <c r="B157" i="22" s="1"/>
  <c r="B221" i="17"/>
  <c r="C221" i="17"/>
  <c r="C239" i="21"/>
  <c r="B158" i="22" s="1"/>
  <c r="B210" i="17"/>
  <c r="B228" i="21"/>
  <c r="B146" i="22" s="1"/>
  <c r="C210" i="17"/>
  <c r="C228" i="21"/>
  <c r="B147" i="22" s="1"/>
  <c r="B211" i="17"/>
  <c r="B229" i="21"/>
  <c r="B148" i="22" s="1"/>
  <c r="C229" i="21"/>
  <c r="B149" i="22" s="1"/>
  <c r="C211" i="17"/>
  <c r="B230" i="21"/>
  <c r="B150" i="22" s="1"/>
  <c r="B212" i="17"/>
  <c r="C212" i="17"/>
  <c r="C230" i="21"/>
  <c r="B151" i="22" s="1"/>
  <c r="B219" i="21"/>
  <c r="B139" i="22" s="1"/>
  <c r="B201" i="17"/>
  <c r="C219" i="21"/>
  <c r="B140" i="22" s="1"/>
  <c r="C201" i="17"/>
  <c r="B220" i="21"/>
  <c r="B141" i="22" s="1"/>
  <c r="B202" i="17"/>
  <c r="C202" i="17"/>
  <c r="C220" i="21"/>
  <c r="B142" i="22" s="1"/>
  <c r="B203" i="17"/>
  <c r="B221" i="21"/>
  <c r="B143" i="22" s="1"/>
  <c r="C203" i="17"/>
  <c r="C221" i="21"/>
  <c r="B144" i="22" s="1"/>
  <c r="C185" i="21"/>
  <c r="B116" i="22" s="1"/>
  <c r="C173" i="17"/>
  <c r="C174" i="17"/>
  <c r="C186" i="21"/>
  <c r="B118" i="22" s="1"/>
  <c r="B185" i="21"/>
  <c r="B115" i="22" s="1"/>
  <c r="B173" i="17"/>
  <c r="B175" i="17"/>
  <c r="B187" i="21"/>
  <c r="B119" i="22" s="1"/>
  <c r="B174" i="17"/>
  <c r="B186" i="21"/>
  <c r="B117" i="22" s="1"/>
  <c r="C175" i="17"/>
  <c r="C187" i="21"/>
  <c r="B120" i="22" s="1"/>
  <c r="C158" i="17"/>
  <c r="C170" i="21"/>
  <c r="B109" i="22" s="1"/>
  <c r="B160" i="17"/>
  <c r="B172" i="21"/>
  <c r="B112" i="22" s="1"/>
  <c r="C160" i="17"/>
  <c r="C172" i="21"/>
  <c r="B113" i="22" s="1"/>
  <c r="B159" i="17"/>
  <c r="B171" i="21"/>
  <c r="B110" i="22" s="1"/>
  <c r="C159" i="17"/>
  <c r="C171" i="21"/>
  <c r="B111" i="22" s="1"/>
  <c r="B158" i="17"/>
  <c r="B170" i="21"/>
  <c r="B108" i="22" s="1"/>
  <c r="B144" i="17"/>
  <c r="B156" i="21"/>
  <c r="B103" i="22" s="1"/>
  <c r="C143" i="17"/>
  <c r="C155" i="21"/>
  <c r="B102" i="22" s="1"/>
  <c r="B157" i="21"/>
  <c r="B105" i="22" s="1"/>
  <c r="B145" i="17"/>
  <c r="C157" i="21"/>
  <c r="B106" i="22" s="1"/>
  <c r="C145" i="17"/>
  <c r="C156" i="21"/>
  <c r="B104" i="22" s="1"/>
  <c r="C144" i="17"/>
  <c r="B155" i="21"/>
  <c r="B101" i="22" s="1"/>
  <c r="B143" i="17"/>
  <c r="C140" i="21"/>
  <c r="B95" i="22" s="1"/>
  <c r="C128" i="17"/>
  <c r="B141" i="21"/>
  <c r="B96" i="22" s="1"/>
  <c r="B129" i="17"/>
  <c r="C141" i="21"/>
  <c r="B97" i="22" s="1"/>
  <c r="C129" i="17"/>
  <c r="B142" i="21"/>
  <c r="B98" i="22" s="1"/>
  <c r="B130" i="17"/>
  <c r="C130" i="17"/>
  <c r="C142" i="21"/>
  <c r="B99" i="22" s="1"/>
  <c r="B128" i="17"/>
  <c r="B140" i="21"/>
  <c r="B94" i="22" s="1"/>
  <c r="B114" i="17"/>
  <c r="B126" i="21"/>
  <c r="B89" i="22" s="1"/>
  <c r="C114" i="17"/>
  <c r="C126" i="21"/>
  <c r="B90" i="22" s="1"/>
  <c r="C113" i="17"/>
  <c r="C125" i="21"/>
  <c r="B88" i="22" s="1"/>
  <c r="B115" i="17"/>
  <c r="B127" i="21"/>
  <c r="B91" i="22" s="1"/>
  <c r="C115" i="17"/>
  <c r="C127" i="21"/>
  <c r="B92" i="22" s="1"/>
  <c r="B113" i="17"/>
  <c r="B125" i="21"/>
  <c r="B87" i="22" s="1"/>
  <c r="L55" i="3"/>
  <c r="C112" i="21" s="1"/>
  <c r="C108" i="21"/>
  <c r="C97" i="17"/>
  <c r="I60" i="14"/>
  <c r="B581" i="21" s="1"/>
  <c r="O44" i="5"/>
  <c r="B260" i="21" s="1"/>
  <c r="K53" i="4"/>
  <c r="B189" i="21" s="1"/>
  <c r="A538" i="17"/>
  <c r="A13" i="17"/>
  <c r="A41" i="17"/>
  <c r="A76" i="17"/>
  <c r="A195" i="17"/>
  <c r="A236" i="17"/>
  <c r="A243" i="17"/>
  <c r="A271" i="17"/>
  <c r="A312" i="17"/>
  <c r="A463" i="17"/>
  <c r="A478" i="17"/>
  <c r="A14" i="17"/>
  <c r="A29" i="17"/>
  <c r="A44" i="17"/>
  <c r="A61" i="17"/>
  <c r="A70" i="17"/>
  <c r="A73" i="17"/>
  <c r="A79" i="17"/>
  <c r="A101" i="17"/>
  <c r="A114" i="17"/>
  <c r="A117" i="17"/>
  <c r="A127" i="17"/>
  <c r="A133" i="17"/>
  <c r="A146" i="17"/>
  <c r="A149" i="17"/>
  <c r="A159" i="17"/>
  <c r="A254" i="17"/>
  <c r="A323" i="17"/>
  <c r="A397" i="17"/>
  <c r="A408" i="17"/>
  <c r="A431" i="17"/>
  <c r="A460" i="17"/>
  <c r="A475" i="17"/>
  <c r="A501" i="17"/>
  <c r="A533" i="17"/>
  <c r="A25" i="17"/>
  <c r="A60" i="17"/>
  <c r="A83" i="17"/>
  <c r="A130" i="17"/>
  <c r="A179" i="17"/>
  <c r="A226" i="17"/>
  <c r="A268" i="17"/>
  <c r="A368" i="17"/>
  <c r="A511" i="17"/>
  <c r="A15" i="17"/>
  <c r="A30" i="17"/>
  <c r="A45" i="17"/>
  <c r="A62" i="17"/>
  <c r="A108" i="17"/>
  <c r="A111" i="17"/>
  <c r="A124" i="17"/>
  <c r="A140" i="17"/>
  <c r="A143" i="17"/>
  <c r="A156" i="17"/>
  <c r="A173" i="17"/>
  <c r="A187" i="17"/>
  <c r="A203" i="17"/>
  <c r="A213" i="17"/>
  <c r="A234" i="17"/>
  <c r="A250" i="17"/>
  <c r="A259" i="17"/>
  <c r="A299" i="17"/>
  <c r="A320" i="17"/>
  <c r="A394" i="17"/>
  <c r="A428" i="17"/>
  <c r="A450" i="17"/>
  <c r="A486" i="17"/>
  <c r="A516" i="17"/>
  <c r="A508" i="17"/>
  <c r="A500" i="17"/>
  <c r="A485" i="17"/>
  <c r="A477" i="17"/>
  <c r="A465" i="17"/>
  <c r="A457" i="17"/>
  <c r="A449" i="17"/>
  <c r="A441" i="17"/>
  <c r="A433" i="17"/>
  <c r="A425" i="17"/>
  <c r="A407" i="17"/>
  <c r="A399" i="17"/>
  <c r="A391" i="17"/>
  <c r="A383" i="17"/>
  <c r="A375" i="17"/>
  <c r="A367" i="17"/>
  <c r="A359" i="17"/>
  <c r="A351" i="17"/>
  <c r="A343" i="17"/>
  <c r="A335" i="17"/>
  <c r="A327" i="17"/>
  <c r="A319" i="17"/>
  <c r="A311" i="17"/>
  <c r="A303" i="17"/>
  <c r="A295" i="17"/>
  <c r="A281" i="17"/>
  <c r="A273" i="17"/>
  <c r="A265" i="17"/>
  <c r="A257" i="17"/>
  <c r="A249" i="17"/>
  <c r="A241" i="17"/>
  <c r="A233" i="17"/>
  <c r="A225" i="17"/>
  <c r="A217" i="17"/>
  <c r="A209" i="17"/>
  <c r="A201" i="17"/>
  <c r="A185" i="17"/>
  <c r="A177" i="17"/>
  <c r="A169" i="17"/>
  <c r="A161" i="17"/>
  <c r="A153" i="17"/>
  <c r="A145" i="17"/>
  <c r="A137" i="17"/>
  <c r="A129" i="17"/>
  <c r="A121" i="17"/>
  <c r="A113" i="17"/>
  <c r="A105" i="17"/>
  <c r="A97" i="17"/>
  <c r="A94" i="17"/>
  <c r="A92" i="17"/>
  <c r="A75" i="17"/>
  <c r="A67" i="17"/>
  <c r="A59" i="17"/>
  <c r="A51" i="17"/>
  <c r="A43" i="17"/>
  <c r="A35" i="17"/>
  <c r="A27" i="17"/>
  <c r="A19" i="17"/>
  <c r="A11" i="17"/>
  <c r="A502" i="17"/>
  <c r="A467" i="17"/>
  <c r="A451" i="17"/>
  <c r="A443" i="17"/>
  <c r="A427" i="17"/>
  <c r="A401" i="17"/>
  <c r="A385" i="17"/>
  <c r="A369" i="17"/>
  <c r="A361" i="17"/>
  <c r="A329" i="17"/>
  <c r="A540" i="17"/>
  <c r="A536" i="17"/>
  <c r="A532" i="17"/>
  <c r="A528" i="17"/>
  <c r="A521" i="17"/>
  <c r="A513" i="17"/>
  <c r="A505" i="17"/>
  <c r="A497" i="17"/>
  <c r="A491" i="17"/>
  <c r="A482" i="17"/>
  <c r="A474" i="17"/>
  <c r="A471" i="17"/>
  <c r="A462" i="17"/>
  <c r="A454" i="17"/>
  <c r="A446" i="17"/>
  <c r="A438" i="17"/>
  <c r="A430" i="17"/>
  <c r="A422" i="17"/>
  <c r="A412" i="17"/>
  <c r="A404" i="17"/>
  <c r="A396" i="17"/>
  <c r="A388" i="17"/>
  <c r="A380" i="17"/>
  <c r="A372" i="17"/>
  <c r="A364" i="17"/>
  <c r="A356" i="17"/>
  <c r="A348" i="17"/>
  <c r="A340" i="17"/>
  <c r="A332" i="17"/>
  <c r="A324" i="17"/>
  <c r="A316" i="17"/>
  <c r="A308" i="17"/>
  <c r="A300" i="17"/>
  <c r="A286" i="17"/>
  <c r="A278" i="17"/>
  <c r="A270" i="17"/>
  <c r="A262" i="17"/>
  <c r="A246" i="17"/>
  <c r="A238" i="17"/>
  <c r="A230" i="17"/>
  <c r="A222" i="17"/>
  <c r="A214" i="17"/>
  <c r="A206" i="17"/>
  <c r="A198" i="17"/>
  <c r="A190" i="17"/>
  <c r="A182" i="17"/>
  <c r="A174" i="17"/>
  <c r="A166" i="17"/>
  <c r="A158" i="17"/>
  <c r="A150" i="17"/>
  <c r="A142" i="17"/>
  <c r="A134" i="17"/>
  <c r="A126" i="17"/>
  <c r="A118" i="17"/>
  <c r="A110" i="17"/>
  <c r="A102" i="17"/>
  <c r="A88" i="17"/>
  <c r="A80" i="17"/>
  <c r="A72" i="17"/>
  <c r="A64" i="17"/>
  <c r="A56" i="17"/>
  <c r="A48" i="17"/>
  <c r="A40" i="17"/>
  <c r="A32" i="17"/>
  <c r="A24" i="17"/>
  <c r="A16" i="17"/>
  <c r="A8" i="17"/>
  <c r="A518" i="17"/>
  <c r="A510" i="17"/>
  <c r="A494" i="17"/>
  <c r="A487" i="17"/>
  <c r="A479" i="17"/>
  <c r="A459" i="17"/>
  <c r="A435" i="17"/>
  <c r="A409" i="17"/>
  <c r="A393" i="17"/>
  <c r="A377" i="17"/>
  <c r="A353" i="17"/>
  <c r="A345" i="17"/>
  <c r="A337" i="17"/>
  <c r="A321" i="17"/>
  <c r="A539" i="17"/>
  <c r="A535" i="17"/>
  <c r="A531" i="17"/>
  <c r="A527" i="17"/>
  <c r="A524" i="17"/>
  <c r="A515" i="17"/>
  <c r="A507" i="17"/>
  <c r="A499" i="17"/>
  <c r="A484" i="17"/>
  <c r="A476" i="17"/>
  <c r="A464" i="17"/>
  <c r="A456" i="17"/>
  <c r="A448" i="17"/>
  <c r="A440" i="17"/>
  <c r="A432" i="17"/>
  <c r="A424" i="17"/>
  <c r="A406" i="17"/>
  <c r="A398" i="17"/>
  <c r="A390" i="17"/>
  <c r="A382" i="17"/>
  <c r="A374" i="17"/>
  <c r="A366" i="17"/>
  <c r="A358" i="17"/>
  <c r="A350" i="17"/>
  <c r="A342" i="17"/>
  <c r="A334" i="17"/>
  <c r="A326" i="17"/>
  <c r="A318" i="17"/>
  <c r="A310" i="17"/>
  <c r="A302" i="17"/>
  <c r="A294" i="17"/>
  <c r="A288" i="17"/>
  <c r="A280" i="17"/>
  <c r="A272" i="17"/>
  <c r="A264" i="17"/>
  <c r="A256" i="17"/>
  <c r="A248" i="17"/>
  <c r="A240" i="17"/>
  <c r="A232" i="17"/>
  <c r="A224" i="17"/>
  <c r="A216" i="17"/>
  <c r="A208" i="17"/>
  <c r="A200" i="17"/>
  <c r="A184" i="17"/>
  <c r="A176" i="17"/>
  <c r="A168" i="17"/>
  <c r="A160" i="17"/>
  <c r="A152" i="17"/>
  <c r="A144" i="17"/>
  <c r="A136" i="17"/>
  <c r="A128" i="17"/>
  <c r="A120" i="17"/>
  <c r="A112" i="17"/>
  <c r="A104" i="17"/>
  <c r="A90" i="17"/>
  <c r="A74" i="17"/>
  <c r="A66" i="17"/>
  <c r="A58" i="17"/>
  <c r="A50" i="17"/>
  <c r="A42" i="17"/>
  <c r="A34" i="17"/>
  <c r="A26" i="17"/>
  <c r="A18" i="17"/>
  <c r="A10" i="17"/>
  <c r="A520" i="17"/>
  <c r="A512" i="17"/>
  <c r="A504" i="17"/>
  <c r="A496" i="17"/>
  <c r="A489" i="17"/>
  <c r="A481" i="17"/>
  <c r="A469" i="17"/>
  <c r="A461" i="17"/>
  <c r="A453" i="17"/>
  <c r="A445" i="17"/>
  <c r="A437" i="17"/>
  <c r="A429" i="17"/>
  <c r="A421" i="17"/>
  <c r="A411" i="17"/>
  <c r="A403" i="17"/>
  <c r="A395" i="17"/>
  <c r="A387" i="17"/>
  <c r="A379" i="17"/>
  <c r="A28" i="17"/>
  <c r="A37" i="17"/>
  <c r="A46" i="17"/>
  <c r="A49" i="17"/>
  <c r="A55" i="17"/>
  <c r="A85" i="17"/>
  <c r="A98" i="17"/>
  <c r="A107" i="17"/>
  <c r="A116" i="17"/>
  <c r="A119" i="17"/>
  <c r="A125" i="17"/>
  <c r="A162" i="17"/>
  <c r="A171" i="17"/>
  <c r="A180" i="17"/>
  <c r="A183" i="17"/>
  <c r="A189" i="17"/>
  <c r="A210" i="17"/>
  <c r="A219" i="17"/>
  <c r="A228" i="17"/>
  <c r="A231" i="17"/>
  <c r="A237" i="17"/>
  <c r="A261" i="17"/>
  <c r="A296" i="17"/>
  <c r="A305" i="17"/>
  <c r="A314" i="17"/>
  <c r="A317" i="17"/>
  <c r="A330" i="17"/>
  <c r="A333" i="17"/>
  <c r="A346" i="17"/>
  <c r="A349" i="17"/>
  <c r="A362" i="17"/>
  <c r="A365" i="17"/>
  <c r="A378" i="17"/>
  <c r="A405" i="17"/>
  <c r="A434" i="17"/>
  <c r="A444" i="17"/>
  <c r="A514" i="17"/>
  <c r="A163" i="17"/>
  <c r="A172" i="17"/>
  <c r="A175" i="17"/>
  <c r="A181" i="17"/>
  <c r="A202" i="17"/>
  <c r="A211" i="17"/>
  <c r="A220" i="17"/>
  <c r="A223" i="17"/>
  <c r="A229" i="17"/>
  <c r="A297" i="17"/>
  <c r="A306" i="17"/>
  <c r="A309" i="17"/>
  <c r="A315" i="17"/>
  <c r="A328" i="17"/>
  <c r="A331" i="17"/>
  <c r="A344" i="17"/>
  <c r="A347" i="17"/>
  <c r="A360" i="17"/>
  <c r="A363" i="17"/>
  <c r="A376" i="17"/>
  <c r="A386" i="17"/>
  <c r="A442" i="17"/>
  <c r="A452" i="17"/>
  <c r="A480" i="17"/>
  <c r="A495" i="17"/>
  <c r="A522" i="17"/>
  <c r="A537" i="17"/>
  <c r="A139" i="17"/>
  <c r="A148" i="17"/>
  <c r="A151" i="17"/>
  <c r="A157" i="17"/>
  <c r="A196" i="17"/>
  <c r="A199" i="17"/>
  <c r="A205" i="17"/>
  <c r="A242" i="17"/>
  <c r="A251" i="17"/>
  <c r="A266" i="17"/>
  <c r="A275" i="17"/>
  <c r="A284" i="17"/>
  <c r="A287" i="17"/>
  <c r="A322" i="17"/>
  <c r="A325" i="17"/>
  <c r="A338" i="17"/>
  <c r="A341" i="17"/>
  <c r="A354" i="17"/>
  <c r="A357" i="17"/>
  <c r="A370" i="17"/>
  <c r="A373" i="17"/>
  <c r="A400" i="17"/>
  <c r="A410" i="17"/>
  <c r="A439" i="17"/>
  <c r="A466" i="17"/>
  <c r="A509" i="17"/>
  <c r="A519" i="17"/>
  <c r="K44" i="5"/>
  <c r="B259" i="21" s="1"/>
  <c r="M44" i="5"/>
  <c r="C259" i="21" s="1"/>
  <c r="E44" i="5"/>
  <c r="G44" i="5"/>
  <c r="B258" i="21" s="1"/>
  <c r="I44" i="5"/>
  <c r="C258" i="21" s="1"/>
  <c r="Q44" i="5"/>
  <c r="C260" i="21" s="1"/>
  <c r="C44" i="5"/>
  <c r="C53" i="4"/>
  <c r="E53" i="4"/>
  <c r="G53" i="4"/>
  <c r="B188" i="21" s="1"/>
  <c r="I53" i="4"/>
  <c r="C188" i="21" s="1"/>
  <c r="M53" i="4"/>
  <c r="C189" i="21" s="1"/>
  <c r="O53" i="4"/>
  <c r="B190" i="21" s="1"/>
  <c r="Q53" i="4"/>
  <c r="C190" i="21" s="1"/>
  <c r="E49" i="1"/>
  <c r="G49" i="1"/>
  <c r="I49" i="1"/>
  <c r="K49" i="1"/>
  <c r="M49" i="1"/>
  <c r="O49" i="1"/>
  <c r="Q49" i="1"/>
  <c r="E44" i="1"/>
  <c r="G44" i="1"/>
  <c r="I44" i="1"/>
  <c r="K44" i="1"/>
  <c r="M44" i="1"/>
  <c r="O44" i="1"/>
  <c r="Q44" i="1"/>
  <c r="E38" i="1"/>
  <c r="G38" i="1"/>
  <c r="I38" i="1"/>
  <c r="K38" i="1"/>
  <c r="M38" i="1"/>
  <c r="O38" i="1"/>
  <c r="Q38" i="1"/>
  <c r="E32" i="1"/>
  <c r="G32" i="1"/>
  <c r="I32" i="1"/>
  <c r="K32" i="1"/>
  <c r="M32" i="1"/>
  <c r="O32" i="1"/>
  <c r="Q32" i="1"/>
  <c r="E26" i="1"/>
  <c r="G26" i="1"/>
  <c r="I26" i="1"/>
  <c r="K26" i="1"/>
  <c r="M26" i="1"/>
  <c r="O26" i="1"/>
  <c r="Q26" i="1"/>
  <c r="C26" i="1"/>
  <c r="C32" i="1"/>
  <c r="C38" i="1"/>
  <c r="C44" i="1"/>
  <c r="C49" i="1"/>
  <c r="C15" i="17" l="1"/>
  <c r="C15" i="21"/>
  <c r="B10" i="22" s="1"/>
  <c r="C14" i="21"/>
  <c r="B8" i="22" s="1"/>
  <c r="C14" i="17"/>
  <c r="B82" i="22"/>
  <c r="B122" i="22"/>
  <c r="B177" i="22"/>
  <c r="C16" i="21"/>
  <c r="B12" i="22" s="1"/>
  <c r="C16" i="17"/>
  <c r="B124" i="22"/>
  <c r="B15" i="21"/>
  <c r="B9" i="22" s="1"/>
  <c r="B15" i="17"/>
  <c r="B16" i="21"/>
  <c r="B11" i="22" s="1"/>
  <c r="B16" i="17"/>
  <c r="B178" i="22"/>
  <c r="B233" i="22"/>
  <c r="B176" i="22"/>
  <c r="B179" i="22"/>
  <c r="B174" i="22"/>
  <c r="B175" i="22"/>
  <c r="B125" i="22"/>
  <c r="B127" i="22"/>
  <c r="B123" i="22"/>
  <c r="B126" i="22"/>
  <c r="C64" i="21"/>
  <c r="B40" i="22" s="1"/>
  <c r="C64" i="17"/>
  <c r="B64" i="21"/>
  <c r="B39" i="22" s="1"/>
  <c r="B64" i="17"/>
  <c r="C63" i="21"/>
  <c r="B38" i="22" s="1"/>
  <c r="C63" i="17"/>
  <c r="B63" i="17"/>
  <c r="B63" i="21"/>
  <c r="B37" i="22" s="1"/>
  <c r="C62" i="17"/>
  <c r="C62" i="21"/>
  <c r="B36" i="22" s="1"/>
  <c r="B62" i="17"/>
  <c r="B62" i="21"/>
  <c r="B35" i="22" s="1"/>
  <c r="C52" i="17"/>
  <c r="C52" i="21"/>
  <c r="B33" i="22" s="1"/>
  <c r="B52" i="21"/>
  <c r="B32" i="22" s="1"/>
  <c r="B52" i="17"/>
  <c r="C51" i="21"/>
  <c r="B31" i="22" s="1"/>
  <c r="C51" i="17"/>
  <c r="B51" i="17"/>
  <c r="B51" i="21"/>
  <c r="B30" i="22" s="1"/>
  <c r="C50" i="17"/>
  <c r="C50" i="21"/>
  <c r="B29" i="22" s="1"/>
  <c r="B50" i="17"/>
  <c r="B50" i="21"/>
  <c r="B28" i="22" s="1"/>
  <c r="B39" i="17"/>
  <c r="B39" i="21"/>
  <c r="B23" i="22" s="1"/>
  <c r="C38" i="21"/>
  <c r="B22" i="22" s="1"/>
  <c r="C38" i="17"/>
  <c r="B38" i="17"/>
  <c r="B38" i="21"/>
  <c r="B21" i="22" s="1"/>
  <c r="C40" i="17"/>
  <c r="C40" i="21"/>
  <c r="B26" i="22" s="1"/>
  <c r="B40" i="21"/>
  <c r="B25" i="22" s="1"/>
  <c r="B40" i="17"/>
  <c r="C39" i="17"/>
  <c r="C39" i="21"/>
  <c r="B24" i="22" s="1"/>
  <c r="B26" i="17"/>
  <c r="B26" i="21"/>
  <c r="B14" i="22" s="1"/>
  <c r="C26" i="17"/>
  <c r="C26" i="21"/>
  <c r="B15" i="22" s="1"/>
  <c r="C28" i="21"/>
  <c r="B19" i="22" s="1"/>
  <c r="C28" i="17"/>
  <c r="B28" i="21"/>
  <c r="B18" i="22" s="1"/>
  <c r="B28" i="17"/>
  <c r="B27" i="17"/>
  <c r="B27" i="21"/>
  <c r="B16" i="22" s="1"/>
  <c r="C27" i="21"/>
  <c r="B17" i="22" s="1"/>
  <c r="C27" i="17"/>
  <c r="B14" i="17"/>
  <c r="B14" i="21"/>
  <c r="B7" i="22" s="1"/>
  <c r="Q54" i="1"/>
  <c r="C67" i="21" s="1"/>
  <c r="M54" i="1"/>
  <c r="C66" i="21" s="1"/>
  <c r="I54" i="1"/>
  <c r="C65" i="21" s="1"/>
  <c r="O54" i="1"/>
  <c r="B67" i="21" s="1"/>
  <c r="C54" i="1"/>
  <c r="K54" i="1"/>
  <c r="B66" i="21" s="1"/>
  <c r="G54" i="1"/>
  <c r="B65" i="21" s="1"/>
  <c r="E54" i="1"/>
  <c r="B45" i="22" l="1"/>
  <c r="B42" i="22"/>
  <c r="C3" i="22"/>
  <c r="B47" i="22"/>
  <c r="B44" i="22"/>
  <c r="B46" i="22"/>
  <c r="B43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Sherry Ann Persad</author>
  </authors>
  <commentList>
    <comment ref="B43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
Lease Financing - Fishing Trawlers
</t>
        </r>
      </text>
    </comment>
    <comment ref="B45" authorId="0" shapeId="0" xr:uid="{00000000-0006-0000-0A00-000002000000}">
      <text>
        <r>
          <rPr>
            <sz val="9"/>
            <color indexed="81"/>
            <rFont val="Tahoma"/>
            <family val="2"/>
          </rPr>
          <t xml:space="preserve">
Lease Financing - Restaurant Equipment</t>
        </r>
      </text>
    </comment>
    <comment ref="B47" authorId="0" shapeId="0" xr:uid="{00000000-0006-0000-0A00-000003000000}">
      <text>
        <r>
          <rPr>
            <sz val="9"/>
            <color indexed="81"/>
            <rFont val="Tahoma"/>
            <family val="2"/>
          </rPr>
          <t xml:space="preserve">
Lease Financing - Supermarket Equipment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Sherry Ann Persad</author>
  </authors>
  <commentList>
    <comment ref="B57" authorId="0" shapeId="0" xr:uid="{00000000-0006-0000-0E00-000001000000}">
      <text>
        <r>
          <rPr>
            <sz val="9"/>
            <color indexed="81"/>
            <rFont val="Tahoma"/>
            <family val="2"/>
          </rPr>
          <t xml:space="preserve">
Loans to Consumers - Computer Related Expenses</t>
        </r>
      </text>
    </comment>
    <comment ref="B59" authorId="0" shapeId="0" xr:uid="{00000000-0006-0000-0E00-000002000000}">
      <text>
        <r>
          <rPr>
            <sz val="9"/>
            <color indexed="81"/>
            <rFont val="Tahoma"/>
            <family val="2"/>
          </rPr>
          <t xml:space="preserve">
Loans to Consumers - Court Orders </t>
        </r>
      </text>
    </comment>
    <comment ref="B61" authorId="0" shapeId="0" xr:uid="{00000000-0006-0000-0E00-000003000000}">
      <text>
        <r>
          <rPr>
            <sz val="9"/>
            <color indexed="81"/>
            <rFont val="Tahoma"/>
            <family val="2"/>
          </rPr>
          <t xml:space="preserve">
Loans to Consumers - Non-Profit Making Institutions</t>
        </r>
      </text>
    </comment>
    <comment ref="B63" authorId="0" shapeId="0" xr:uid="{00000000-0006-0000-0E00-000004000000}">
      <text>
        <r>
          <rPr>
            <sz val="9"/>
            <color indexed="81"/>
            <rFont val="Tahoma"/>
            <family val="2"/>
          </rPr>
          <t xml:space="preserve">
Loans to Consumers - Overdraft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Sherry Ann Persad</author>
  </authors>
  <commentList>
    <comment ref="B45" authorId="0" shapeId="0" xr:uid="{00000000-0006-0000-1400-000001000000}">
      <text>
        <r>
          <rPr>
            <sz val="9"/>
            <color indexed="81"/>
            <rFont val="Tahoma"/>
            <family val="2"/>
          </rPr>
          <t xml:space="preserve">
Trustee Funds Under Administration - Chattels</t>
        </r>
      </text>
    </comment>
    <comment ref="B47" authorId="0" shapeId="0" xr:uid="{00000000-0006-0000-1400-000002000000}">
      <text>
        <r>
          <rPr>
            <sz val="9"/>
            <color indexed="81"/>
            <rFont val="Tahoma"/>
            <family val="2"/>
          </rPr>
          <t xml:space="preserve">
Trustee Funds Under Administration - Debentures</t>
        </r>
      </text>
    </comment>
    <comment ref="B49" authorId="0" shapeId="0" xr:uid="{00000000-0006-0000-1400-000003000000}">
      <text>
        <r>
          <rPr>
            <sz val="9"/>
            <color indexed="81"/>
            <rFont val="Tahoma"/>
            <family val="2"/>
          </rPr>
          <t xml:space="preserve">
Trustee Funds Under Administration - Deposit Administration Pension Plans</t>
        </r>
      </text>
    </comment>
    <comment ref="B51" authorId="0" shapeId="0" xr:uid="{00000000-0006-0000-1400-000004000000}">
      <text>
        <r>
          <rPr>
            <sz val="9"/>
            <color indexed="81"/>
            <rFont val="Tahoma"/>
            <family val="2"/>
          </rPr>
          <t xml:space="preserve">
Trustee Funds Under Administration - Demand Loans</t>
        </r>
      </text>
    </comment>
    <comment ref="B53" authorId="0" shapeId="0" xr:uid="{00000000-0006-0000-1400-000005000000}">
      <text>
        <r>
          <rPr>
            <sz val="9"/>
            <color indexed="81"/>
            <rFont val="Tahoma"/>
            <family val="2"/>
          </rPr>
          <t xml:space="preserve">
Trustee Funds Under Administration - Euro Bonds</t>
        </r>
      </text>
    </comment>
    <comment ref="B55" authorId="0" shapeId="0" xr:uid="{00000000-0006-0000-1400-000006000000}">
      <text>
        <r>
          <rPr>
            <sz val="9"/>
            <color indexed="81"/>
            <rFont val="Tahoma"/>
            <family val="2"/>
          </rPr>
          <t xml:space="preserve">
Trustee Funds Under Administration - Foreign Bank Accounts</t>
        </r>
      </text>
    </comment>
    <comment ref="B57" authorId="0" shapeId="0" xr:uid="{00000000-0006-0000-1400-000007000000}">
      <text>
        <r>
          <rPr>
            <sz val="9"/>
            <color indexed="81"/>
            <rFont val="Tahoma"/>
            <family val="2"/>
          </rPr>
          <t xml:space="preserve">
Trustee Funds Under Administration - Insurance Policies</t>
        </r>
      </text>
    </comment>
  </commentList>
</comments>
</file>

<file path=xl/sharedStrings.xml><?xml version="1.0" encoding="utf-8"?>
<sst xmlns="http://schemas.openxmlformats.org/spreadsheetml/2006/main" count="1349" uniqueCount="770">
  <si>
    <t>CENTRAL BANK OF TRINIDAD AND TOBAGO</t>
  </si>
  <si>
    <t>REAL ESTATE MORTGAGE LOANS - QUARTERLY</t>
  </si>
  <si>
    <t>A.  CHANGES - SECTOR AND SIZE</t>
  </si>
  <si>
    <t>VERSION:</t>
  </si>
  <si>
    <t xml:space="preserve">OUTSTANDING </t>
  </si>
  <si>
    <t>APPROVALS</t>
  </si>
  <si>
    <t>DISBURSEMENTS</t>
  </si>
  <si>
    <t>OUSTANDING</t>
  </si>
  <si>
    <t>A.</t>
  </si>
  <si>
    <t>SECTOR AND SIZE</t>
  </si>
  <si>
    <t>BALANCE AS OF</t>
  </si>
  <si>
    <t>DURING</t>
  </si>
  <si>
    <t>BALANCE AS AT</t>
  </si>
  <si>
    <t>PRIOR QUARTER</t>
  </si>
  <si>
    <t>QUARTER</t>
  </si>
  <si>
    <t>QUARTER END</t>
  </si>
  <si>
    <t>NO.</t>
  </si>
  <si>
    <t>VALUE</t>
  </si>
  <si>
    <t>1 .</t>
  </si>
  <si>
    <t>PUBLIC SECTOR</t>
  </si>
  <si>
    <t>Under $300,000</t>
  </si>
  <si>
    <t>$300,000 - $450,000</t>
  </si>
  <si>
    <t>Over $450,000</t>
  </si>
  <si>
    <t>2 .</t>
  </si>
  <si>
    <t>PRIVATE FINANCIAL</t>
  </si>
  <si>
    <t>INSTITUTION</t>
  </si>
  <si>
    <t>3 .</t>
  </si>
  <si>
    <t xml:space="preserve">INCORPORATED </t>
  </si>
  <si>
    <t>BUSINESS</t>
  </si>
  <si>
    <t>4 .</t>
  </si>
  <si>
    <t xml:space="preserve">UNINCORPORATED </t>
  </si>
  <si>
    <t xml:space="preserve">5 . </t>
  </si>
  <si>
    <t>CONSUMERS</t>
  </si>
  <si>
    <t xml:space="preserve"> </t>
  </si>
  <si>
    <t>T O T A L</t>
  </si>
  <si>
    <t>3n</t>
  </si>
  <si>
    <t>B.  PURPOSE</t>
  </si>
  <si>
    <t>PURPOSE</t>
  </si>
  <si>
    <t>( $000 )</t>
  </si>
  <si>
    <t>RENOVATION</t>
  </si>
  <si>
    <t>ACQUISITION OF NEWLY</t>
  </si>
  <si>
    <t>CONSTRUCTED HOUSES</t>
  </si>
  <si>
    <t>PURCHASE OF EXISTING</t>
  </si>
  <si>
    <t>HOUSES</t>
  </si>
  <si>
    <t>MEMO :</t>
  </si>
  <si>
    <t>LOANS RESCHEDULED</t>
  </si>
  <si>
    <t>PURCHASE OF LAND</t>
  </si>
  <si>
    <t>5 .</t>
  </si>
  <si>
    <t>OTHER</t>
  </si>
  <si>
    <t>C.</t>
  </si>
  <si>
    <t>NO. OF LOAN APPLICATIONS RECEIVED DURING THE QUARTER</t>
  </si>
  <si>
    <t>REAL ESTATE MORTGAGE LOANS ADMINISTERED</t>
  </si>
  <si>
    <t>ON BEHALF OF THE HOME MORTGAGE BANK</t>
  </si>
  <si>
    <t>SALES</t>
  </si>
  <si>
    <t>TYPE</t>
  </si>
  <si>
    <t>BEGINNING</t>
  </si>
  <si>
    <t>FOR THE</t>
  </si>
  <si>
    <t>PRINCIPAL</t>
  </si>
  <si>
    <t>ENDING</t>
  </si>
  <si>
    <t>BALANCE</t>
  </si>
  <si>
    <t>REPAYMENTS</t>
  </si>
  <si>
    <t>(1)</t>
  </si>
  <si>
    <t>(2)</t>
  </si>
  <si>
    <t>(3)</t>
  </si>
  <si>
    <t>(4)</t>
  </si>
  <si>
    <t>(5)</t>
  </si>
  <si>
    <t>(6)</t>
  </si>
  <si>
    <t>(7)</t>
  </si>
  <si>
    <t>(8)</t>
  </si>
  <si>
    <t>EXISTING MORTGAGES</t>
  </si>
  <si>
    <t>NEW CONSTRUCTION</t>
  </si>
  <si>
    <t>MORTGAGES</t>
  </si>
  <si>
    <t>ARREARS ON HOME MORTGAGE BANK MORTGAGES</t>
  </si>
  <si>
    <t>1 - 3 MONTHS</t>
  </si>
  <si>
    <t>OVER 4 MONTHS</t>
  </si>
  <si>
    <t xml:space="preserve">NO. </t>
  </si>
  <si>
    <t>INTEREST</t>
  </si>
  <si>
    <t>#</t>
  </si>
  <si>
    <t>ARREARS ON TOTAL MORTGAGES</t>
  </si>
  <si>
    <t>HOME MORTGAGE BANK</t>
  </si>
  <si>
    <t>- EXISTING MORTGAGES</t>
  </si>
  <si>
    <t>- NEW CONSTRUCTION</t>
  </si>
  <si>
    <t xml:space="preserve">  MORTGAGES</t>
  </si>
  <si>
    <t xml:space="preserve">BANKS/TRUST </t>
  </si>
  <si>
    <t>COMPANIES</t>
  </si>
  <si>
    <t>AGENTS OF NATIONAL INSURANCE BOARD</t>
  </si>
  <si>
    <t>CHANGES AND PURPOSE</t>
  </si>
  <si>
    <t>Under $100,000</t>
  </si>
  <si>
    <t>$100,000 - $200,000</t>
  </si>
  <si>
    <t>$200,000 - $300,000</t>
  </si>
  <si>
    <t>Over $300,000</t>
  </si>
  <si>
    <t>B.</t>
  </si>
  <si>
    <t>AGENTS OF NATIONAL HOUSING AUTHORITY</t>
  </si>
  <si>
    <t>Under $50,000</t>
  </si>
  <si>
    <t>$50,000 - $100,000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</si>
  <si>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</si>
  <si>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AGREEMENTS</t>
  </si>
  <si>
    <t>MADE IN THE</t>
  </si>
  <si>
    <t>IN CURRENT</t>
  </si>
  <si>
    <t>CURRENT</t>
  </si>
  <si>
    <t>i.e. 1+2-3=4</t>
  </si>
  <si>
    <t>NO.*</t>
  </si>
  <si>
    <t>PRIVATE CARS</t>
  </si>
  <si>
    <t>NEW</t>
  </si>
  <si>
    <t>USED</t>
  </si>
  <si>
    <t>OTHER VEHICLES</t>
  </si>
  <si>
    <t>AGRICULTURE</t>
  </si>
  <si>
    <t>PLANT AND</t>
  </si>
  <si>
    <t>MACHINERY</t>
  </si>
  <si>
    <t>INDUSTRIAL</t>
  </si>
  <si>
    <t>BUILDING</t>
  </si>
  <si>
    <t>AND MACHINERY</t>
  </si>
  <si>
    <t>OFFICE EQUIPMENT</t>
  </si>
  <si>
    <t>AND FURNISHING</t>
  </si>
  <si>
    <t>(a)</t>
  </si>
  <si>
    <t>LEASE_FIN.FSH_TRAW</t>
  </si>
  <si>
    <t>(b)</t>
  </si>
  <si>
    <t>LEASE_FIN.REST_EQPT</t>
  </si>
  <si>
    <t>(c)</t>
  </si>
  <si>
    <t>LEASE_FIN.SUPR_MRKT_EQP</t>
  </si>
  <si>
    <t>(d)</t>
  </si>
  <si>
    <t>(e)</t>
  </si>
  <si>
    <t>*Number of Contracts</t>
  </si>
  <si>
    <t>OUTSTANDING LOANS TO BUSINESSES BY ACTIVITY SECTORS</t>
  </si>
  <si>
    <t>(Excluding Real Estate Mortgage Loans and Lease Financing)</t>
  </si>
  <si>
    <t>FULL</t>
  </si>
  <si>
    <t>T'DAD</t>
  </si>
  <si>
    <t>S.I.C.</t>
  </si>
  <si>
    <t>Cocoa, Coffee,</t>
  </si>
  <si>
    <t>Citrus, Cultivation</t>
  </si>
  <si>
    <t>Coconut Growing</t>
  </si>
  <si>
    <t>01 - 01</t>
  </si>
  <si>
    <t>Vegetables, Tobacco,</t>
  </si>
  <si>
    <t>Rice</t>
  </si>
  <si>
    <t>01 - 03</t>
  </si>
  <si>
    <t>Poultry and Eggs</t>
  </si>
  <si>
    <t>01 - 04</t>
  </si>
  <si>
    <t>Dairy, Beef, Pork and</t>
  </si>
  <si>
    <t>Other Meat</t>
  </si>
  <si>
    <t>01 - 05/06/07</t>
  </si>
  <si>
    <t>Forestry and Fishing</t>
  </si>
  <si>
    <t>01 - 08/09</t>
  </si>
  <si>
    <t>Other Domestic</t>
  </si>
  <si>
    <t>Agriculture</t>
  </si>
  <si>
    <t>01 - 02/10</t>
  </si>
  <si>
    <t>Sugar Industry</t>
  </si>
  <si>
    <t>02</t>
  </si>
  <si>
    <t>(9)</t>
  </si>
  <si>
    <t>Petrochemical and</t>
  </si>
  <si>
    <t>03</t>
  </si>
  <si>
    <t>(10)</t>
  </si>
  <si>
    <t>Food Processors</t>
  </si>
  <si>
    <t>04 - 01 to 09</t>
  </si>
  <si>
    <t>(11)</t>
  </si>
  <si>
    <t>Drink and Tobacco</t>
  </si>
  <si>
    <t>Processors</t>
  </si>
  <si>
    <t>04 - 10/11/12</t>
  </si>
  <si>
    <t>(12)</t>
  </si>
  <si>
    <t>Textiles and Garments</t>
  </si>
  <si>
    <t>05 - 01/02</t>
  </si>
  <si>
    <t>(13)</t>
  </si>
  <si>
    <t>Footwear, Headwear,</t>
  </si>
  <si>
    <t>Zippers etc.</t>
  </si>
  <si>
    <t>05 - 03/04/05</t>
  </si>
  <si>
    <t>(14)</t>
  </si>
  <si>
    <t>Printing, Publishing and</t>
  </si>
  <si>
    <t>Paper Converters</t>
  </si>
  <si>
    <t>06</t>
  </si>
  <si>
    <t>(15)</t>
  </si>
  <si>
    <t>Wood and Related</t>
  </si>
  <si>
    <t>Products</t>
  </si>
  <si>
    <t>07</t>
  </si>
  <si>
    <t>(16)</t>
  </si>
  <si>
    <t>Industrial Gases and</t>
  </si>
  <si>
    <t>Paints</t>
  </si>
  <si>
    <t>08 - 01</t>
  </si>
  <si>
    <t>(17)</t>
  </si>
  <si>
    <t>Pharmaceuticals and</t>
  </si>
  <si>
    <t>Other Chemicals</t>
  </si>
  <si>
    <t>08 - 02</t>
  </si>
  <si>
    <t>(18)</t>
  </si>
  <si>
    <t>Clay Bricks and Blocks</t>
  </si>
  <si>
    <t>and Tiles</t>
  </si>
  <si>
    <t>(19)</t>
  </si>
  <si>
    <t>Cement and Concrete</t>
  </si>
  <si>
    <t>08 - 05/06</t>
  </si>
  <si>
    <t>(20)</t>
  </si>
  <si>
    <t>Other Chemicals and</t>
  </si>
  <si>
    <t>Non- Metallic Minerals</t>
  </si>
  <si>
    <t>08 - 04/07</t>
  </si>
  <si>
    <t>(21)</t>
  </si>
  <si>
    <t>Motor Vehicle Assembly</t>
  </si>
  <si>
    <t>and Other Transport</t>
  </si>
  <si>
    <t>Equipment and Parts</t>
  </si>
  <si>
    <t>09 - 01/02/03</t>
  </si>
  <si>
    <t>(22)</t>
  </si>
  <si>
    <t>Assembly of Appliances</t>
  </si>
  <si>
    <t>and Electronic Items</t>
  </si>
  <si>
    <t>09 - 04/05</t>
  </si>
  <si>
    <t>(23)</t>
  </si>
  <si>
    <t>Metal Building Materials,</t>
  </si>
  <si>
    <t>Containers and</t>
  </si>
  <si>
    <t>Furniture</t>
  </si>
  <si>
    <t>09 - 07/08/09</t>
  </si>
  <si>
    <t>(24)</t>
  </si>
  <si>
    <t>Manufacture of Iron</t>
  </si>
  <si>
    <t>and Steel</t>
  </si>
  <si>
    <t>09 - 10</t>
  </si>
  <si>
    <t>(25)</t>
  </si>
  <si>
    <t xml:space="preserve">Other Assembly Type </t>
  </si>
  <si>
    <t>and Related Industries</t>
  </si>
  <si>
    <t>09 - 06/11</t>
  </si>
  <si>
    <t>(26)</t>
  </si>
  <si>
    <t>Miscellaneous</t>
  </si>
  <si>
    <t>Manufacturing</t>
  </si>
  <si>
    <t>10</t>
  </si>
  <si>
    <t>(27)</t>
  </si>
  <si>
    <t>Electricity and Water</t>
  </si>
  <si>
    <t>11</t>
  </si>
  <si>
    <t>(28)</t>
  </si>
  <si>
    <t>Building Construction</t>
  </si>
  <si>
    <t>and Repair</t>
  </si>
  <si>
    <t>12 - 01</t>
  </si>
  <si>
    <t>(29)</t>
  </si>
  <si>
    <t>Civil Engineering</t>
  </si>
  <si>
    <t>12 - 02</t>
  </si>
  <si>
    <t>(30)</t>
  </si>
  <si>
    <t>Electrical Installation,</t>
  </si>
  <si>
    <t>Plumbing, Painting etc.</t>
  </si>
  <si>
    <t>12 - 03/04/05</t>
  </si>
  <si>
    <t>(31)</t>
  </si>
  <si>
    <t>Other Construction</t>
  </si>
  <si>
    <t>12 - 06 to 09</t>
  </si>
  <si>
    <t>(32)</t>
  </si>
  <si>
    <t>Wholesale Trade</t>
  </si>
  <si>
    <t>13 - 01</t>
  </si>
  <si>
    <t>(33)</t>
  </si>
  <si>
    <t>Retail Trade</t>
  </si>
  <si>
    <t>13 - 02</t>
  </si>
  <si>
    <t>(34)</t>
  </si>
  <si>
    <t>Restaurants, Bars,</t>
  </si>
  <si>
    <t>Snackettes, Parlour etc.</t>
  </si>
  <si>
    <t>13 -03</t>
  </si>
  <si>
    <t>(35)</t>
  </si>
  <si>
    <t>Hotels and Guest</t>
  </si>
  <si>
    <t>Houses</t>
  </si>
  <si>
    <t>14</t>
  </si>
  <si>
    <t>(36)</t>
  </si>
  <si>
    <t xml:space="preserve">Taxi Service and </t>
  </si>
  <si>
    <t>Car Rentals</t>
  </si>
  <si>
    <t>15 - 02</t>
  </si>
  <si>
    <t>(37)</t>
  </si>
  <si>
    <t>Trucking</t>
  </si>
  <si>
    <t>15 - 03</t>
  </si>
  <si>
    <t>(38)</t>
  </si>
  <si>
    <t>Storage and</t>
  </si>
  <si>
    <t>Communications</t>
  </si>
  <si>
    <t>15 -  09 to 12</t>
  </si>
  <si>
    <t>(39)</t>
  </si>
  <si>
    <t>Other Transport and</t>
  </si>
  <si>
    <t>Ancillary Services</t>
  </si>
  <si>
    <t>15 - 01/04 to 08</t>
  </si>
  <si>
    <t>(40)</t>
  </si>
  <si>
    <t>16 - 01/02</t>
  </si>
  <si>
    <t>(41)</t>
  </si>
  <si>
    <t>Life Insurance</t>
  </si>
  <si>
    <t>16 - 04</t>
  </si>
  <si>
    <t>(42)</t>
  </si>
  <si>
    <t>Non - Life Insurance</t>
  </si>
  <si>
    <t>(43)</t>
  </si>
  <si>
    <t>Finance and Acceptance</t>
  </si>
  <si>
    <t>Services etc.</t>
  </si>
  <si>
    <t>16 - 03</t>
  </si>
  <si>
    <t>(44)</t>
  </si>
  <si>
    <t>16 - 05</t>
  </si>
  <si>
    <t>(45)</t>
  </si>
  <si>
    <t>All Other Business</t>
  </si>
  <si>
    <t>Services</t>
  </si>
  <si>
    <t>16 - 06 to 10</t>
  </si>
  <si>
    <t>(46)</t>
  </si>
  <si>
    <t>Education, Cultural and</t>
  </si>
  <si>
    <t>Community Services</t>
  </si>
  <si>
    <t>18</t>
  </si>
  <si>
    <t>(47)</t>
  </si>
  <si>
    <t>Health Services</t>
  </si>
  <si>
    <t>19 - 01</t>
  </si>
  <si>
    <t>(48)</t>
  </si>
  <si>
    <t xml:space="preserve">Recreational Service </t>
  </si>
  <si>
    <t>19 - 03</t>
  </si>
  <si>
    <t>(49)</t>
  </si>
  <si>
    <t>All Other Personal</t>
  </si>
  <si>
    <t>19 - 02/04 to 09</t>
  </si>
  <si>
    <t>(50)</t>
  </si>
  <si>
    <t>All Other Purposes</t>
  </si>
  <si>
    <t xml:space="preserve">T O T A L </t>
  </si>
  <si>
    <t>OUTSTANDING LOANS TO CONSUMER BY PURPOSE</t>
  </si>
  <si>
    <t>CONSUMER PURPOSES</t>
  </si>
  <si>
    <t>V A L U E</t>
  </si>
  <si>
    <t xml:space="preserve">  </t>
  </si>
  <si>
    <t>Bridging Finance</t>
  </si>
  <si>
    <t>Land and Real Estate</t>
  </si>
  <si>
    <t>Home Improvement/Renovation</t>
  </si>
  <si>
    <t>Private Cars - New</t>
  </si>
  <si>
    <t>Private Cars - Used</t>
  </si>
  <si>
    <t>Electrical/Non - Electrical Domestic Appliances</t>
  </si>
  <si>
    <t>Radios, Musical Instruments etc.</t>
  </si>
  <si>
    <t>Other Furniture, Furnishings</t>
  </si>
  <si>
    <t>Purchase of New Shares</t>
  </si>
  <si>
    <t>Purchase of Other Financial Assets</t>
  </si>
  <si>
    <t>Education</t>
  </si>
  <si>
    <t xml:space="preserve">Medical </t>
  </si>
  <si>
    <t>Travel</t>
  </si>
  <si>
    <t>Professional Services</t>
  </si>
  <si>
    <t>Refinancing</t>
  </si>
  <si>
    <t>Consolidation of Debts</t>
  </si>
  <si>
    <t>LN_CONSM.COMP_EXP.OS</t>
  </si>
  <si>
    <t>LN_CONSM.CRT_ORDS.OS</t>
  </si>
  <si>
    <t>LN_CONSM.NPRFT_INST.OS</t>
  </si>
  <si>
    <t>LN_CONSM.OVERDRFT.OS</t>
  </si>
  <si>
    <t>OF WHICH:</t>
  </si>
  <si>
    <t>TOTAL LOANS BY INTEREST RATES CHARGED</t>
  </si>
  <si>
    <t xml:space="preserve">INTEREST RATE </t>
  </si>
  <si>
    <t>NUMBER OF</t>
  </si>
  <si>
    <t>OUTSTANDING</t>
  </si>
  <si>
    <t xml:space="preserve">CHARGED </t>
  </si>
  <si>
    <t>LOANS</t>
  </si>
  <si>
    <t>AGGREGATE BALANCE</t>
  </si>
  <si>
    <t>( % per annum )</t>
  </si>
  <si>
    <t>( # )</t>
  </si>
  <si>
    <t>LOCAL</t>
  </si>
  <si>
    <t>0% - 1%</t>
  </si>
  <si>
    <t>1.1%-2%</t>
  </si>
  <si>
    <t>2.1% - 3%</t>
  </si>
  <si>
    <t>3.1% - 4%</t>
  </si>
  <si>
    <t>4.1% - 5%</t>
  </si>
  <si>
    <t>5.1% - 6%</t>
  </si>
  <si>
    <t>6.1% - 7%</t>
  </si>
  <si>
    <t>7.1% - 8%</t>
  </si>
  <si>
    <t>8.1% - 9%</t>
  </si>
  <si>
    <t>9.1% - 10%</t>
  </si>
  <si>
    <t xml:space="preserve">10.1% - 11% </t>
  </si>
  <si>
    <t>11.1% - 12%</t>
  </si>
  <si>
    <t>12.1% - 13%</t>
  </si>
  <si>
    <t>13.1% - 14%</t>
  </si>
  <si>
    <t>14.1% - 15%</t>
  </si>
  <si>
    <t>15.1% - 16%</t>
  </si>
  <si>
    <t>16.1% - 17%</t>
  </si>
  <si>
    <t>17.1% - 18%</t>
  </si>
  <si>
    <t>18.1% - 19%</t>
  </si>
  <si>
    <t>19.1% - 20%</t>
  </si>
  <si>
    <t>20.1% - 21%</t>
  </si>
  <si>
    <t>21.1% - 22%</t>
  </si>
  <si>
    <t xml:space="preserve">22.1% - 23% </t>
  </si>
  <si>
    <t>23.1% - 24%</t>
  </si>
  <si>
    <t>Over 24%</t>
  </si>
  <si>
    <t>Maximum Rate:</t>
  </si>
  <si>
    <t>TOTAL FOREIGN CURRENCY LOANS BY INTEREST RATES CHARGED</t>
  </si>
  <si>
    <t>1.1% - 2%</t>
  </si>
  <si>
    <t>20.1 - 21%</t>
  </si>
  <si>
    <t>NEW CREDIT ( INSTALMENT AND REAL ESTATE MORTGAGE LOANS )</t>
  </si>
  <si>
    <t>BY AGREED PERIOD OF REPAYMENT</t>
  </si>
  <si>
    <t>AGREED PERIOD OF</t>
  </si>
  <si>
    <t>TOTAL VALUE OF</t>
  </si>
  <si>
    <t>REPAYMENT</t>
  </si>
  <si>
    <t>NEW LOANS</t>
  </si>
  <si>
    <t>Up to 1 year</t>
  </si>
  <si>
    <t>Over 1 year to 2 years</t>
  </si>
  <si>
    <t>Over 2 year to 3 years</t>
  </si>
  <si>
    <t>Over 3 year to 4 years</t>
  </si>
  <si>
    <t>Over 4 year to 5 years</t>
  </si>
  <si>
    <t>Over 5 year to 6 years</t>
  </si>
  <si>
    <t>Over 6 year to 7 years</t>
  </si>
  <si>
    <t>Over 7 year to 8 years</t>
  </si>
  <si>
    <t>Over 8 year to 9 years</t>
  </si>
  <si>
    <t>Over 9 year to 10 years</t>
  </si>
  <si>
    <t>Over 10 year to 15 years</t>
  </si>
  <si>
    <t>Over 15 year to 20 years</t>
  </si>
  <si>
    <t>Over 20 year to 25 years</t>
  </si>
  <si>
    <t>Over 25 year to 30 years</t>
  </si>
  <si>
    <t>Over 30 years</t>
  </si>
  <si>
    <t>Maximum Period</t>
  </si>
  <si>
    <t>Unspecified</t>
  </si>
  <si>
    <t>TOTAL DEPOSITS BY INTEREST RATES OFFERED</t>
  </si>
  <si>
    <t>OFFERED</t>
  </si>
  <si>
    <t>DEPOSITS</t>
  </si>
  <si>
    <t>TOTAL FOREIGN CURRENCY DEPOSITS BY INTEREST RATES OFFERED</t>
  </si>
  <si>
    <t>TRUSTEE FUNDS - INVESTMENT PORTFOLIO</t>
  </si>
  <si>
    <t>TOTAL FUNDS UNDER ADMINISTRATION</t>
  </si>
  <si>
    <t>( $ 000 )</t>
  </si>
  <si>
    <t>DEMAND DEPOSITS</t>
  </si>
  <si>
    <t>SAVINGS DEPOSITS</t>
  </si>
  <si>
    <t>FIXED DEPOSITS - COMMERCIAL BANKS</t>
  </si>
  <si>
    <t>FIXED DEPOSITS - N.F.I.'S</t>
  </si>
  <si>
    <t>GOVERNMENT SECURITIES - LOCAL</t>
  </si>
  <si>
    <t xml:space="preserve">                                                             - FOREIGN</t>
  </si>
  <si>
    <t>COMPANY EQUITIES - LOCAL</t>
  </si>
  <si>
    <t xml:space="preserve">                                             - FOREIGN</t>
  </si>
  <si>
    <t xml:space="preserve">REAL ESTATE MORTGAGE LOANS </t>
  </si>
  <si>
    <t>- TOTAL</t>
  </si>
  <si>
    <t>OTHER LOANS</t>
  </si>
  <si>
    <t>REAL ESTATE</t>
  </si>
  <si>
    <t>OTHER FIXED ASSETS</t>
  </si>
  <si>
    <t>OTHER ( SPECIFY )</t>
  </si>
  <si>
    <t>TR_FNDS.CHATT</t>
  </si>
  <si>
    <t>TR_FNDS.DEBENT</t>
  </si>
  <si>
    <t>TR_FNDS.DEP_ADM_PPL</t>
  </si>
  <si>
    <t>TR_FNDS.DMND_LNS</t>
  </si>
  <si>
    <t>TR_FNDS.EURO_BNDS</t>
  </si>
  <si>
    <t>TR_FNDS.FRGN_BNK_ACT</t>
  </si>
  <si>
    <t>TR_FNDS.INS_POL</t>
  </si>
  <si>
    <t>TOTAL INVESTMENT</t>
  </si>
  <si>
    <t>Date</t>
  </si>
  <si>
    <t>hdr</t>
  </si>
  <si>
    <t>cb30</t>
  </si>
  <si>
    <t>sect1</t>
  </si>
  <si>
    <t>NUM</t>
  </si>
  <si>
    <t>VAL</t>
  </si>
  <si>
    <t>sect2</t>
  </si>
  <si>
    <t>sect3</t>
  </si>
  <si>
    <t>sect4</t>
  </si>
  <si>
    <t>PPL</t>
  </si>
  <si>
    <t>INT</t>
  </si>
  <si>
    <t>sect5</t>
  </si>
  <si>
    <t>sect6</t>
  </si>
  <si>
    <t>sect7</t>
  </si>
  <si>
    <t>sect8</t>
  </si>
  <si>
    <t>sect9</t>
  </si>
  <si>
    <t>sect10</t>
  </si>
  <si>
    <t>REPAY..NUM</t>
  </si>
  <si>
    <t>REPAY..VAL</t>
  </si>
  <si>
    <t>OS..NUM</t>
  </si>
  <si>
    <t>OS..VAL</t>
  </si>
  <si>
    <t>sect11</t>
  </si>
  <si>
    <t>sect12</t>
  </si>
  <si>
    <t>sect13</t>
  </si>
  <si>
    <t>BAL</t>
  </si>
  <si>
    <t>sect14</t>
  </si>
  <si>
    <t>RATE</t>
  </si>
  <si>
    <t>sect15</t>
  </si>
  <si>
    <t>sect16</t>
  </si>
  <si>
    <t>sect17</t>
  </si>
  <si>
    <t>sect18</t>
  </si>
  <si>
    <t>sect19</t>
  </si>
  <si>
    <t>PRIVATE SECTOR</t>
  </si>
  <si>
    <t xml:space="preserve">CENTRAL BANK OF TRINIDAD AND TOBAGO </t>
  </si>
  <si>
    <t xml:space="preserve">FOR </t>
  </si>
  <si>
    <t>SELECT INSTITUTION</t>
  </si>
  <si>
    <t>For the Quarter Ended:</t>
  </si>
  <si>
    <t>Date Submitted:</t>
  </si>
  <si>
    <t>CB30 RETURN</t>
  </si>
  <si>
    <t>CODES</t>
  </si>
  <si>
    <t xml:space="preserve">ANSA Bank Limited </t>
  </si>
  <si>
    <t>BBDA</t>
  </si>
  <si>
    <t xml:space="preserve">ANSA Merchant Bank Limited </t>
  </si>
  <si>
    <t>AMAL</t>
  </si>
  <si>
    <t>Caribbean Finance Company Limited</t>
  </si>
  <si>
    <t>CFC</t>
  </si>
  <si>
    <t>Citibank (Trinidad &amp; Tobago) Limited</t>
  </si>
  <si>
    <t>CITI</t>
  </si>
  <si>
    <t>Citicorp Merchant Bank Limited</t>
  </si>
  <si>
    <t>CMBL</t>
  </si>
  <si>
    <t xml:space="preserve">Development Finance Limited </t>
  </si>
  <si>
    <t>DFL</t>
  </si>
  <si>
    <t xml:space="preserve">Fidelity Finance and Leasing Company Limited </t>
  </si>
  <si>
    <t>FFL</t>
  </si>
  <si>
    <t>First Citizens Bank Limited</t>
  </si>
  <si>
    <t>FCB</t>
  </si>
  <si>
    <t>First Citizens Depository Services Limited</t>
  </si>
  <si>
    <t>FCMT</t>
  </si>
  <si>
    <t>First Citizens Trustee Services Limited</t>
  </si>
  <si>
    <t>FCTS</t>
  </si>
  <si>
    <t>FCIB</t>
  </si>
  <si>
    <t xml:space="preserve">Guardian Group Trust Limited </t>
  </si>
  <si>
    <t>GAM</t>
  </si>
  <si>
    <t>Island Finance Trinidad and Tobago Limited</t>
  </si>
  <si>
    <t>ISFL</t>
  </si>
  <si>
    <t xml:space="preserve">JMMB Bank (T&amp;T) Limited </t>
  </si>
  <si>
    <t>ICBL</t>
  </si>
  <si>
    <t>JMMB Express Finance (T&amp;T) Limited</t>
  </si>
  <si>
    <t>ITBM</t>
  </si>
  <si>
    <t xml:space="preserve">Massy Finance GFC Limited </t>
  </si>
  <si>
    <t>GFC</t>
  </si>
  <si>
    <t>TFL</t>
  </si>
  <si>
    <t>RBC Investment Management (Caribbean) Limited</t>
  </si>
  <si>
    <t>RBAM</t>
  </si>
  <si>
    <t>RBC Merchant Bank (Caribbean) Limited</t>
  </si>
  <si>
    <t>RMBF</t>
  </si>
  <si>
    <t>RBC Royal Bank (Trinidad and Tobago) Limited</t>
  </si>
  <si>
    <t>RBTT</t>
  </si>
  <si>
    <t>RBC Trust (Trinidad and Tobago) Limited</t>
  </si>
  <si>
    <t>RBT</t>
  </si>
  <si>
    <t xml:space="preserve">Republic Bank Limited </t>
  </si>
  <si>
    <t>RBL</t>
  </si>
  <si>
    <t>Scotia Investments Trinidad and Tobago Limited</t>
  </si>
  <si>
    <t>SITT</t>
  </si>
  <si>
    <t xml:space="preserve">Scotiabank Trinidad and Tobago Limited </t>
  </si>
  <si>
    <t>BNS</t>
  </si>
  <si>
    <t>NCB Merchant Bank (Trinidad and Tobago) Limited</t>
  </si>
  <si>
    <t xml:space="preserve">  FOR THE QUARTER </t>
  </si>
  <si>
    <t xml:space="preserve"> FOR THE QUARTER </t>
  </si>
  <si>
    <t xml:space="preserve">   FOR THE QUARTER</t>
  </si>
  <si>
    <t xml:space="preserve"> FOR THE QUARTER</t>
  </si>
  <si>
    <t xml:space="preserve">    FOR THE QUARTER</t>
  </si>
  <si>
    <t xml:space="preserve">INSTITUTION </t>
  </si>
  <si>
    <t xml:space="preserve">INSTITUTION         </t>
  </si>
  <si>
    <t xml:space="preserve">INSTITUTION        </t>
  </si>
  <si>
    <t xml:space="preserve">INSTITUTION       </t>
  </si>
  <si>
    <t xml:space="preserve">INSTITUTION          </t>
  </si>
  <si>
    <t xml:space="preserve">INSTITUTION      </t>
  </si>
  <si>
    <t xml:space="preserve">FOR THE QUARTER </t>
  </si>
  <si>
    <t>FOR THE QUARTER</t>
  </si>
  <si>
    <t xml:space="preserve">Month </t>
  </si>
  <si>
    <t>Year</t>
  </si>
  <si>
    <t>YEAR</t>
  </si>
  <si>
    <t>March</t>
  </si>
  <si>
    <t>June</t>
  </si>
  <si>
    <t>September</t>
  </si>
  <si>
    <t>December</t>
  </si>
  <si>
    <t>Type mm/dd/yyyy</t>
  </si>
  <si>
    <t>RESIDENTIAL</t>
  </si>
  <si>
    <t>NON - RESIDENTIAL</t>
  </si>
  <si>
    <t>RESIDENTIAL MORTGAGE LOANS</t>
  </si>
  <si>
    <t>Other Vehicles</t>
  </si>
  <si>
    <t>- RESIDENTIAL</t>
  </si>
  <si>
    <t>- NON - RESIDENTIAL</t>
  </si>
  <si>
    <t>CB 30/1</t>
  </si>
  <si>
    <t>CB 30/2</t>
  </si>
  <si>
    <t>CB 30/3</t>
  </si>
  <si>
    <t>CB 30/4</t>
  </si>
  <si>
    <t>CB 30/5</t>
  </si>
  <si>
    <t>CB 30/6</t>
  </si>
  <si>
    <t>CB 30/7</t>
  </si>
  <si>
    <t>CB 30/10</t>
  </si>
  <si>
    <t>CB 30/9</t>
  </si>
  <si>
    <t>CB 30/8</t>
  </si>
  <si>
    <t>CB 30/11</t>
  </si>
  <si>
    <t>CB 30/12</t>
  </si>
  <si>
    <t>CB 30/13</t>
  </si>
  <si>
    <t>CB 30/14</t>
  </si>
  <si>
    <t>CB 30/15</t>
  </si>
  <si>
    <t>CB 30/16</t>
  </si>
  <si>
    <t>Lease Financing By Purpose</t>
  </si>
  <si>
    <t>Petroleum (Including</t>
  </si>
  <si>
    <t>Asphalt)</t>
  </si>
  <si>
    <t>(Roads and Bridges)</t>
  </si>
  <si>
    <t>(Including Quarrying)</t>
  </si>
  <si>
    <t>(Cinemas, Clubs, etc.)</t>
  </si>
  <si>
    <t>Central Banks)</t>
  </si>
  <si>
    <t xml:space="preserve">Banks (Commercial/ </t>
  </si>
  <si>
    <t>Non-Profit Making Institutions</t>
  </si>
  <si>
    <t>(Legal, Funeral etc.)</t>
  </si>
  <si>
    <t>Insurance (Life and Non - Life)</t>
  </si>
  <si>
    <t>Other Purposes (Specify)</t>
  </si>
  <si>
    <t>(REFERS TO ITEMS 1 - 3,</t>
  </si>
  <si>
    <t>ABOVE)</t>
  </si>
  <si>
    <t>NON-RESIDENTIAL</t>
  </si>
  <si>
    <t>OTHER (SPECIFY</t>
  </si>
  <si>
    <t>AS FAR AS POSSIBLE)</t>
  </si>
  <si>
    <t>Root Crops, Pulses,</t>
  </si>
  <si>
    <t>Real Estate</t>
  </si>
  <si>
    <t xml:space="preserve">Name of Person Completing Form </t>
  </si>
  <si>
    <t xml:space="preserve">Signature of Person Completing Form </t>
  </si>
  <si>
    <t>(Block Letters)</t>
  </si>
  <si>
    <t xml:space="preserve">Name of Authorised Official </t>
  </si>
  <si>
    <t xml:space="preserve">Signature of Authorised Official </t>
  </si>
  <si>
    <t xml:space="preserve">Position/Office Held </t>
  </si>
  <si>
    <t>(Place Company Stamp)</t>
  </si>
  <si>
    <t>I hereby certify that data submitted in the e-copy submission are the exact values in the hard-copy return for this period.</t>
  </si>
  <si>
    <t xml:space="preserve">Please use the CB30 instructions to complete the return using the link below. </t>
  </si>
  <si>
    <t>CB30 INSTRUCTIONS</t>
  </si>
  <si>
    <t>GENERAL INSTRUCTIONS</t>
  </si>
  <si>
    <t>Do not amend the structure/format.</t>
  </si>
  <si>
    <t>Do not remove the password protection.</t>
  </si>
  <si>
    <t>Do not manipulate the formulas.</t>
  </si>
  <si>
    <t xml:space="preserve">Complete Cover Page before submission. 
Institution, reporting quarter and date submitted must be populated. </t>
  </si>
  <si>
    <t>No blank cells.  All cells must be populated with zero where there is no data.</t>
  </si>
  <si>
    <t>N/A, N/D, NA/ND, NA and ND cannot be used in the return.</t>
  </si>
  <si>
    <t>Do not use symbols in cells (&lt;, &gt;, commas, full stops, apostrophe, tilde etc.).</t>
  </si>
  <si>
    <t>Ensure all values are zero in the validation tab.
If values are not zeros, check formulas to determine where errors may have occurred.</t>
  </si>
  <si>
    <t>The file format should be Microsoft Excel with the extension ".xlsx".</t>
  </si>
  <si>
    <t>FILE NAMING FOR SUBMISSION</t>
  </si>
  <si>
    <t>ZERO-SUM CHECK</t>
  </si>
  <si>
    <t>PAGE 1</t>
  </si>
  <si>
    <t>Public Sector Approvals During Quarter: Total Number = Under $300,000 + $300,000-$450,000 + Over $450,000</t>
  </si>
  <si>
    <t>Public Sector Approvals During Quarter: Total Value = Under $300,000 + $300,000-$450,000 + Over $450,000</t>
  </si>
  <si>
    <t>Public Sector Disbursements During Quarter: Total Number = Under $300,000 + $300,000-$450,000 + Over $450,000</t>
  </si>
  <si>
    <t>Public Sector Disbursements During Quarter: Total Value = Under $300,000 + $300,000-$450,000 + Over $450,000</t>
  </si>
  <si>
    <t>Public Sector Outstanding Balance as at Quarter End: Total Number = Under $300,000 + $300,000-$450,000 + Over $450,000</t>
  </si>
  <si>
    <t>Public Sector Outstanding Balance as at Quarter End: Total Value = Under $300,000 + $300,000-$450,000 + Over $450,000</t>
  </si>
  <si>
    <t>PAGE 2</t>
  </si>
  <si>
    <t>Approvals During Quarter: Total Number = Renovation + Acq. of Newly Const. Houses + Purchase of Exist. Houses + Purchase of Land + Other</t>
  </si>
  <si>
    <t>Approvals During Quarter: Total Value = Renovation + Acq. of Newly Const. Houses + Purchase of Exist. Houses + Purchase of Land + Other</t>
  </si>
  <si>
    <t>Disbursements During Quarter: Total Number = Renovation + Acq. of Newly Const. Houses + Purchase of Exist. Houses + Purchase of Land + Other</t>
  </si>
  <si>
    <t>Disbursements During Quarter: Total Value = Renovation + Acq. of Newly Const. Houses + Purchase of Exist. Houses + Purchase of Land + Other</t>
  </si>
  <si>
    <t>Outstanding Balance as at Quarter End: Total Number = Renovation + Acq. of Newly Const. Houses + Purchase of Exist. Houses + Purchase of Land + Other</t>
  </si>
  <si>
    <t>Outstanding Balance as at Quarter End: Total Value = Renovation + Acq. of Newly Const. Houses + Purchase of Exist. Houses + Purchase of Land + Other</t>
  </si>
  <si>
    <t>PAGE 3</t>
  </si>
  <si>
    <t>Sales for the Quarter: Total Number = Existing Mortgages + New Construction Mortgages</t>
  </si>
  <si>
    <t>Sales for the Quarter: Total Value = Existing Mortgages + New Construction Mortgages</t>
  </si>
  <si>
    <t>Principal Repayments: Total Number = Existing Mortgages + New Construction Mortgages</t>
  </si>
  <si>
    <t>Principal Repayments: Total Value = Existing Mortgages + New Construction Mortgages</t>
  </si>
  <si>
    <t>Ending Balance: Total Number = Existing Mortgages + New Construction Mortgages</t>
  </si>
  <si>
    <t>Ending Balance: Total Value = Existing Mortgages + New Construction Mortgages</t>
  </si>
  <si>
    <t>Arrears on Mortgages 1-3 Months: Total Number = Existing Mortgages + New Construction Mortgages</t>
  </si>
  <si>
    <t>Arrears on Mortgages 1-3 Months: Total Principal = Existing Mortgages + New Construction Mortgages</t>
  </si>
  <si>
    <t>Arrears on Mortgages 1-3 Months: Total Interest = Existing Mortgages + New Construction Mortgages</t>
  </si>
  <si>
    <t>Arrears on Mortgages Over 4 Months: Total Number = Existing Mortgages + New Construction Mortgages</t>
  </si>
  <si>
    <t>Arrears on Mortgages Over 4 Months: Total Principal = Existing Mortgages + New Construction Mortgages</t>
  </si>
  <si>
    <t>Arrears on Mortgages Over 4 Months: Total Interest = Existing Mortgages + New Construction Mortgages</t>
  </si>
  <si>
    <t>Arrears on Total Mortgages: Total Number = Home Mortgage Bank + Banks/Trust Companies</t>
  </si>
  <si>
    <t>Arrears on Total Mortgages: Total Value = Home Mortgage Bank + Banks/Trust Companies</t>
  </si>
  <si>
    <t>PAGE 4</t>
  </si>
  <si>
    <t>Public Sector Approvals During Quarter: Total Number = Under $100,000 + $100,000-$200,000 + $200,000-$300,000 + Over $300,000</t>
  </si>
  <si>
    <t>Public Sector Approvals During Quarter: Total Value = Under $100,000 + $100,000-$200,000 + $200,000-$300,000 + Over $300,000</t>
  </si>
  <si>
    <t>Public Sector Disbursements During Quarter: Total Number = Under $100,000 + $100,000-$200,000 + $200,000-$300,000 + Over $300,000</t>
  </si>
  <si>
    <t>Public Sector Disbursements During Quarter: Total Value = Under $100,000 + $100,000-$200,000 + $200,000-$300,000 + Over $300,000</t>
  </si>
  <si>
    <t>Public Sector Outstanding Balance as at Quarter End: Total Number = Under $100,000 + $100,000-$200,000 + $200,000-$300,000 + Over $300,000</t>
  </si>
  <si>
    <t>Public Sector Outstanding Balance as at Quarter End: Total Value = Under $100,000 + $100,000-$200,000 + $200,000-$300,000 + Over $300,000</t>
  </si>
  <si>
    <t>Private Financial Institutions Approvals During Quarter: Total Number = Under $100,000 + $100,000-$200,000 + $200,000-$300,000 + Over $300,000</t>
  </si>
  <si>
    <t>Private Financial Institutions Approvals During Quarter: Total Value = Under $100,000 + $100,000-$200,000 + $200,000-$300,000 + Over $300,000</t>
  </si>
  <si>
    <t>Private Financial Institutions Disbursements During Quarter: Total Number = Under $100,000 + $100,000-$200,000 + $200,000-$300,000 + Over $300,000</t>
  </si>
  <si>
    <t>Private Financial Institutions Disbursements During Quarter: Total Value = Under $100,000 + $100,000-$200,000 + $200,000-$300,000 + Over $300,000</t>
  </si>
  <si>
    <t>Private Financial Institutions Outstanding Balance as at Quarter End: Total Number = Under $100,000 + $100,000-$200,000 + $200,000-$300,000 + Over $300,000</t>
  </si>
  <si>
    <t>Private Financial Institutions Outstanding Balance as at Quarter End: Total Value = Under $100,000 + $100,000-$200,000 + $200,000-$300,000 + Over $300,000</t>
  </si>
  <si>
    <t>NIB Approvals During Quarter: Total Number = Renovation + Acq. of Newly Const. Houses + Purchase of Exist. Houses + Purchase of Land + Other</t>
  </si>
  <si>
    <t>NIB Approvals During Quarter: Total Value = Renovation + Acq. of Newly Const. Houses + Purchase of Exist. Houses + Purchase of Land + Other</t>
  </si>
  <si>
    <t>NIB Disbursements During Quarter: Total Number = Renovation + Acq. of Newly Const. Houses + Purchase of Exist. Houses + Purchase of Land + Other</t>
  </si>
  <si>
    <t>NIB Disbursements During Quarter: Total Value = Renovation + Acq. of Newly Const. Houses + Purchase of Exist. Houses + Purchase of Land + Other</t>
  </si>
  <si>
    <t>NIB Outstanding Balance as at Quarter End: Total Number = Renovation + Acq. of Newly Const. Houses + Purchase of Exist. Houses + Purchase of Land + Other</t>
  </si>
  <si>
    <t>NIB Outstanding Balance as at Quarter End: Total Value = Renovation + Acq. of Newly Const. Houses + Purchase of Exist. Houses + Purchase of Land + Other</t>
  </si>
  <si>
    <t>PAGE 5</t>
  </si>
  <si>
    <t>Public Sector Approvals During Quarter: Total Number = Under $50,000 + $50,000-$100,000</t>
  </si>
  <si>
    <t>Public Sector Approvals During Quarter: Total Value = Under $50,000 + $50,000-$100,000</t>
  </si>
  <si>
    <t>Public Sector Disbursements During Quarter: Total Number = Under $50,000 + $50,000-$100,000</t>
  </si>
  <si>
    <t>Public Sector Disbursements During Quarter: Total Value = Under $50,000 + $50,000-$100,000</t>
  </si>
  <si>
    <t>Public Sector Outstanding Balance as at Quarter End: Total Number = Under $50,000 + $50,000-$100,000</t>
  </si>
  <si>
    <t>Public Sector Outstanding Balance as at Quarter End: Total Value = Under $50,000 + $50,000-$100,000</t>
  </si>
  <si>
    <t xml:space="preserve">NHA Approvals During Quarter: Total Number = Renovation + Acq. of Newly Const. Houses + Purchase of Exist. Houses + Purchase of Land </t>
  </si>
  <si>
    <t xml:space="preserve">NHA Approvals During Quarter: Total Value = Renovation + Acq. of Newly Const. Houses + Purchase of Exist. Houses + Purchase of Land </t>
  </si>
  <si>
    <t xml:space="preserve">NHA Disbursements During Quarter: Total Number = Renovation + Acq. of Newly Const. Houses + Purchase of Exist. Houses + Purchase of Land </t>
  </si>
  <si>
    <t xml:space="preserve">NHA Disbursements During Quarter: Total Value = Renovation + Acq. of Newly Const. Houses + Purchase of Exist. Houses + Purchase of Land </t>
  </si>
  <si>
    <t xml:space="preserve">NHA Outstanding Balance as at Quarter End: Total Number = Renovation + Acq. of Newly Const. Houses + Purchase of Exist. Houses + Purchase of Land </t>
  </si>
  <si>
    <t xml:space="preserve">NHA Outstanding Balance as at Quarter End: Total Value = Renovation + Acq. of Newly Const. Houses + Purchase of Exist. Houses + Purchase of Land </t>
  </si>
  <si>
    <t>PAGE 6</t>
  </si>
  <si>
    <t>Agreements Made in Current Quarter: Total Number = Private Cars New/Used + Other Vehicles New/Used + Agriculture, Plant and Machinery New/Used + Industrial Building and Machinery New/Used + Office Equip. and Furnishing New/Used + Other</t>
  </si>
  <si>
    <t>Agreements Made in Current Quarter: Total Value = Private Cars New/Used + Other Vehicles New/Used + Agriculture, Plant and Machinery New/Used + Industrial Building and Machinery New/Used + Office Equip. and Furnishing New/Used + Other</t>
  </si>
  <si>
    <t>Repayments in Current Quarter: Total Number = Private Cars New/Used + Other Vehicles New/Used + Agriculture, Plant and Machinery New/Used + Industrial Building and Machinery New/Used + Office Equip. and Furnishing New/Used + Other</t>
  </si>
  <si>
    <t>Repayments in Current Quarter: Total Value = Private Cars New/Used + Other Vehicles New/Used + Agriculture, Plant and Machinery New/Used + Industrial Building and Machinery New/Used + Office Equip. and Furnishing New/Used + Other</t>
  </si>
  <si>
    <t>Outstanding Balance as at Quarter End: Total Number = Private Cars New/Used + Other Vehicles New/Used + Agriculture, Plant and Machinery New/Used + Industrial Building and Machinery New/Used + Office Equip. and Furnishing New/Used + Other</t>
  </si>
  <si>
    <t>Outstanding Balance as at Quarter End: Total Value = Private Cars New/Used + Other Vehicles New/Used + Agriculture, Plant and Machinery New/Used + Industrial Building and Machinery New/Used + Office Equip. and Furnishing New/Used + Other</t>
  </si>
  <si>
    <t>PAGE 11</t>
  </si>
  <si>
    <t>Loans by Interest Rate Charged: Total Number</t>
  </si>
  <si>
    <t>Loans by Interest Rate Charged: Total Outstanding Aggregate Balance</t>
  </si>
  <si>
    <t>Page 12</t>
  </si>
  <si>
    <t>Foreign Currency Loans by Interest Rate Charged: Total Number</t>
  </si>
  <si>
    <t>Foreign Currency Loans by Interest Rate Charged: Total Outstanding Aggregate Balance</t>
  </si>
  <si>
    <t>Page 13</t>
  </si>
  <si>
    <t>New Credit (Instalment and Real Estate Mortgage Loans) by Agreed Period of Repayment: Total Number of New loans</t>
  </si>
  <si>
    <t>New Credit (Instalment and Real Estate Mortgage Loans) by Agreed Period of Repayment: Total Value of New loans</t>
  </si>
  <si>
    <t>Page 14</t>
  </si>
  <si>
    <t>Total Deposits by Interest Rates Offered: Total Number of Deposits</t>
  </si>
  <si>
    <t>Total Deposits by Interest Rates Offered: Total Outstanding Aggregate Balance</t>
  </si>
  <si>
    <t>Page 15</t>
  </si>
  <si>
    <t>Total Foreign Currency Deposits by Interest Rates Offered: Total Number of Deposits</t>
  </si>
  <si>
    <t>Total Foreign Currency Deposits by Interest Rates Offered: Total Outstanding Aggregate Balance</t>
  </si>
  <si>
    <t>Page 16</t>
  </si>
  <si>
    <t>Trustee Funds: Total Investment</t>
  </si>
  <si>
    <t>AGGR..NUM,5)</t>
  </si>
  <si>
    <t>AGGR..VAL,5)</t>
  </si>
  <si>
    <t>TOTAL FAILED VALIDATIONS</t>
  </si>
  <si>
    <t>Private Financial Institutions Approvals During Quarter: Total Number = Under $300,000 + $300,000-$450,000 + Over $450,000</t>
  </si>
  <si>
    <t>Private Financial Institutions Approvals During Quarter: Total Value = Under $300,000 + $300,000-$450,000 + Over $450,000</t>
  </si>
  <si>
    <t>Private Financial Institutions Disbursements During Quarter: Total Number = Under $300,000 + $300,000-$450,000 + Over $450,000</t>
  </si>
  <si>
    <t>Private Financial Institutions Disbursements During Quarter: Total Value = Under $300,000 + $300,000-$450,000 + Over $450,000</t>
  </si>
  <si>
    <t>Private Financial Institutions Outstanding Balance as at Quarter End: Total Number = Under $300,000 + $300,000-$450,000 + Over $450,000</t>
  </si>
  <si>
    <t>Private Financial Institutions Outstanding Balance as at Quarter End: Total Value = Under $300,000 + $300,000-$450,000 + Over $450,000</t>
  </si>
  <si>
    <t>Private Financial Institutions Approvals During Quarter: Total Number = Under $50,000 + $50,000-$100,000</t>
  </si>
  <si>
    <t>Private Financial Institutions Approvals During Quarter: Total Value = Under $50,000 + $50,000-$100,000</t>
  </si>
  <si>
    <t>Private Financial Institutions Disbursements During Quarter: Total Number = Under $50,000 + $50,000-$100,000</t>
  </si>
  <si>
    <t>Private Financial Institutions Disbursements During Quarter: Total Value = Under $50,000 + $50,000-$100,000</t>
  </si>
  <si>
    <t>Private Financial Institutions Outstanding Balance as at Quarter End: Total Number = Under $50,000 + $50,000-$100,000</t>
  </si>
  <si>
    <t>Private Financial Institutions Outstanding Balance as at Quarter End: Total Value = Under $50,000 + $50,000-$100,000</t>
  </si>
  <si>
    <t>Consumers Approvals During Quarter: Total Number = Under $300,000 + $300,000-$450,000 + Over $450,000</t>
  </si>
  <si>
    <t>Consumers Approvals During Quarter: Total Value = Under $300,000 + $300,000-$450,000 + Over $450,000</t>
  </si>
  <si>
    <t>Consumers Disbursements During Quarter: Total Number = Under $300,000 + $300,000-$450,000 + Over $450,000</t>
  </si>
  <si>
    <t>Consumers Disbursements During Quarter: Total Value = Under $300,000 + $300,000-$450,000 + Over $450,000</t>
  </si>
  <si>
    <t>Consumers Outstanding Balance as at Quarter End: Total Number = Under $300,000 + $300,000-$450,000 + Over $450,000</t>
  </si>
  <si>
    <t>Consumers Outstanding Balance as at Quarter End: Total Value = Under $300,000 + $300,000-$450,000 + Over $450,000</t>
  </si>
  <si>
    <t>Consumers Approvals During Quarter: Total Number = Under $100,000 + $100,000-$200,000 + $200,000-$300,000 + Over $300,000</t>
  </si>
  <si>
    <t>Consumers Approvals During Quarter: Total Value = Under $100,000 + $100,000-$200,000 + $200,000-$300,000 + Over $300,000</t>
  </si>
  <si>
    <t>Consumers Disbursements During Quarter: Total Number = Under $100,000 + $100,000-$200,000 + $200,000-$300,000 + Over $300,000</t>
  </si>
  <si>
    <t>Consumers Disbursements During Quarter: Total Value = Under $100,000 + $100,000-$200,000 + $200,000-$300,000 + Over $300,000</t>
  </si>
  <si>
    <t>Consumers Outstanding Balance as at Quarter End: Total Number = Under $100,000 + $100,000-$200,000 + $200,000-$300,000 + Over $300,000</t>
  </si>
  <si>
    <t>Consumers Outstanding Balance as at Quarter End: Total Value = Under $100,000 + $100,000-$200,000 + $200,000-$300,000 + Over $300,000</t>
  </si>
  <si>
    <t>Consumers Approvals During Quarter: Total Number = Under $50,000 + $50,000-$100,000</t>
  </si>
  <si>
    <t>Consumers Approvals During Quarter: Total Value = Under $50,000 + $50,000-$100,000</t>
  </si>
  <si>
    <t>Consumers Disbursements During Quarter: Total Number = Under $50,000 + $50,000-$100,000</t>
  </si>
  <si>
    <t>Consumers Disbursements During Quarter: Total Value = Under $50,000 + $50,000-$100,000</t>
  </si>
  <si>
    <t>Consumers Outstanding Balance as at Quarter End: Total Number = Under $50,000 + $50,000-$100,000</t>
  </si>
  <si>
    <t>Consumers Outstanding Balance as at Quarter End: Total Value = Under $50,000 + $50,000-$100,000</t>
  </si>
  <si>
    <t>Incorporated Businesses Approvals During Quarter: Total Number = Under $300,000 + $300,000-$450,000 + Over $450,000</t>
  </si>
  <si>
    <t>Incorporated Businesses Approvals During Quarter: Total Value = Under $300,000 + $300,000-$450,000 + Over $450,000</t>
  </si>
  <si>
    <t>Incorporated Businesses Disbursements During Quarter: Total Number = Under $300,000 + $300,000-$450,000 + Over $450,000</t>
  </si>
  <si>
    <t>Incorporated Businesses Disbursements During Quarter: Total Value = Under $300,000 + $300,000-$450,000 + Over $450,000</t>
  </si>
  <si>
    <t>Incorporated Businesses Outstanding Balance as at Quarter End: Total Number = Under $300,000 + $300,000-$450,000 + Over $450,000</t>
  </si>
  <si>
    <t>Incorporated Businesses Outstanding Balance as at Quarter End: Total Value = Under $300,000 + $300,000-$450,000 + Over $450,000</t>
  </si>
  <si>
    <t>Incorporated Businesses Approvals During Quarter: Total Number = Under $100,000 + $100,000-$200,000 + $200,000-$300,000 + Over $300,000</t>
  </si>
  <si>
    <t>Incorporated Businesses Approvals During Quarter: Total Value = Under $100,000 + $100,000-$200,000 + $200,000-$300,000 + Over $300,000</t>
  </si>
  <si>
    <t>Incorporated Businesses Disbursements During Quarter: Total Number = Under $100,000 + $100,000-$200,000 + $200,000-$300,000 + Over $300,000</t>
  </si>
  <si>
    <t>Incorporated Businesses Disbursements During Quarter: Total Value = Under $100,000 + $100,000-$200,000 + $200,000-$300,000 + Over $300,000</t>
  </si>
  <si>
    <t>Incorporated Businesses Outstanding Balance as at Quarter End: Total Number = Under $100,000 + $100,000-$200,000 + $200,000-$300,000 + Over $300,000</t>
  </si>
  <si>
    <t>Incorporated Businesses Outstanding Balance as at Quarter End: Total Value = Under $100,000 + $100,000-$200,000 + $200,000-$300,000 + Over $300,000</t>
  </si>
  <si>
    <t>Incorporated Businesses Approvals During Quarter: Total Number = Under $50,000 + $50,000-$100,000</t>
  </si>
  <si>
    <t>Incorporated Businesses Approvals During Quarter: Total Value = Under $50,000 + $50,000-$100,000</t>
  </si>
  <si>
    <t>Incorporated Businesses Disbursements During Quarter: Total Number = Under $50,000 + $50,000-$100,000</t>
  </si>
  <si>
    <t>Incorporated Businesses Disbursements During Quarter: Total Value = Under $50,000 + $50,000-$100,000</t>
  </si>
  <si>
    <t>Incorporated Businesses Outstanding Balance as at Quarter End: Total Number = Under $50,000 + $50,000-$100,000</t>
  </si>
  <si>
    <t>Incorporated Businesses Outstanding Balance as at Quarter End: Total Value = Under $50,000 + $50,000-$100,000</t>
  </si>
  <si>
    <t>Unincorporated Businesses Approvals During Quarter: Total Number = Under $300,000 + $300,000-$450,000 + Over $450,000</t>
  </si>
  <si>
    <t>Unincorporated Businesses Approvals During Quarter: Total Value = Under $300,000 + $300,000-$450,000 + Over $450,000</t>
  </si>
  <si>
    <t>Unincorporated Businesses Disbursements During Quarter: Total Number = Under $300,000 + $300,000-$450,000 + Over $450,000</t>
  </si>
  <si>
    <t>Unincorporated Businesses Disbursements During Quarter: Total Value = Under $300,000 + $300,000-$450,000 + Over $450,000</t>
  </si>
  <si>
    <t>Unincorporated Businesses Outstanding Balance as at Quarter End: Total Number = Under $300,000 + $300,000-$450,000 + Over $450,000</t>
  </si>
  <si>
    <t>Unincorporated Businesses Outstanding Balance as at Quarter End: Total Value = Under $300,000 + $300,000-$450,000 + Over $450,000</t>
  </si>
  <si>
    <t>Unincorporated Businesses Approvals During Quarter: Total Number = Under $100,000 + $100,000-$200,000 + $200,000-$300,000 + Over $300,000</t>
  </si>
  <si>
    <t>Unincorporated Businesses Approvals During Quarter: Total Value = Under $100,000 + $100,000-$200,000 + $200,000-$300,000 + Over $300,000</t>
  </si>
  <si>
    <t>Unincorporated Businesses Disbursements During Quarter: Total Number = Under $100,000 + $100,000-$200,000 + $200,000-$300,000 + Over $300,000</t>
  </si>
  <si>
    <t>Unincorporated Businesses Disbursements During Quarter: Total Value = Under $100,000 + $100,000-$200,000 + $200,000-$300,000 + Over $300,000</t>
  </si>
  <si>
    <t>Unincorporated Businesses Outstanding Balance as at Quarter End: Total Number = Under $100,000 + $100,000-$200,000 + $200,000-$300,000 + Over $300,000</t>
  </si>
  <si>
    <t>Unincorporated Businesses Outstanding Balance as at Quarter End: Total Value = Under $100,000 + $100,000-$200,000 + $200,000-$300,000 + Over $300,000</t>
  </si>
  <si>
    <t>Unincorporated Businesses Approvals During Quarter: Total Number = Under $50,000 + $50,000-$100,000</t>
  </si>
  <si>
    <t>Unincorporated Businesses Approvals During Quarter: Total Value = Under $50,000 + $50,000-$100,000</t>
  </si>
  <si>
    <t>Unincorporated Businesses Disbursements During Quarter: Total Number = Under $50,000 + $50,000-$100,000</t>
  </si>
  <si>
    <t>Unincorporated Businesses Disbursements During Quarter: Total Value = Under $50,000 + $50,000-$100,000</t>
  </si>
  <si>
    <t>Unincorporated Businesses Outstanding Balance as at Quarter End: Total Number = Under $50,000 + $50,000-$100,000</t>
  </si>
  <si>
    <t>Unincorporated Businesses Outstanding Balance as at Quarter End: Total Value = Under $50,000 + $50,000-$100,000</t>
  </si>
  <si>
    <t>Approvals During Quarter: Total Number = Public Sector + Private Financial Institutions + Incorporated Businesses + Unincorporated Businesses + Consumers</t>
  </si>
  <si>
    <t>Approvals During Quarter: Total Value = Public Sector + Private Financial Institutions + Incorporated Businesses + Unincorporated Businesses + Consumers</t>
  </si>
  <si>
    <t>Disbursements During Quarter: Total Number = Public Sector + Private Financial Institutions + Incorporated Businesses + Unincorporated Businesses + Consumers</t>
  </si>
  <si>
    <t>Disbursements During Quarter: Total Value = Public Sector + Private Financial Institutions + Incorporated Businesses + Unincorporated Businesses + Consumers</t>
  </si>
  <si>
    <t>Outstanding Balance as at Quarter End: Total Number = Public Sector + Private Financial Institutions + Incorporated Businesses + Unincorporated Businesses + Consumers</t>
  </si>
  <si>
    <t>Outstanding Balance as at Quarter End: Total Value = Public Sector + Private Financial Institutions + Incorporated Businesses + Unincorporated Businesses + Consumers</t>
  </si>
  <si>
    <t>NIB Approvals During Quarter: Total Number = Public Sector + Private Financial Institutions + Incorporated Businesses + Unincorporated Businesses + Consumers</t>
  </si>
  <si>
    <t>NIB Approvals During Quarter: Total Value = Public Sector + Private Financial Institutions + Incorporated Businesses + Unincorporated Businesses + Consumers</t>
  </si>
  <si>
    <t>NIB Disbursements During Quarter: Total Number = Public Sector + Private Financial Institutions + Incorporated Businesses + Unincorporated Businesses + Consumers</t>
  </si>
  <si>
    <t>NIB Disbursements During Quarter: Total Value = Public Sector + Private Financial Institutions + Incorporated Businesses + Unincorporated Businesses + Consumers</t>
  </si>
  <si>
    <t>NIB Outstanding Balance as at Quarter End: Total Number = Public Sector + Private Financial Institutions + Incorporated Businesses + Unincorporated Businesses + Consumers</t>
  </si>
  <si>
    <t>NIB Outstanding Balance as at Quarter End: Total Value = Public Sector + Private Financial Institutions + Incorporated Businesses + Unincorporated Businesses + Consumers</t>
  </si>
  <si>
    <t>NHA Approvals During Quarter: Total Number = Public Sector + Private Financial Institutions + Incorporated Businesses + Unincorporated Businesses + Consumers</t>
  </si>
  <si>
    <t>NHA Approvals During Quarter: Total Value = Public Sector + Private Financial Institutions + Incorporated Businesses + Unincorporated Businesses + Consumers</t>
  </si>
  <si>
    <t>NHA Disbursements During Quarter: Total Number = Public Sector + Private Financial Institutions + Incorporated Businesses + Unincorporated Businesses + Consumers</t>
  </si>
  <si>
    <t>NHA Disbursements During Quarter: Total Value = Public Sector + Private Financial Institutions + Incorporated Businesses + Unincorporated Businesses + Consumers</t>
  </si>
  <si>
    <t>NHA Outstanding Balance as at Quarter End: Total Number = Public Sector + Private Financial Institutions + Incorporated Businesses + Unincorporated Businesses + Consumers</t>
  </si>
  <si>
    <t>NHA Outstanding Balance as at Quarter End: Total Value = Public Sector + Private Financial Institutions + Incorporated Businesses + Unincorporated Businesses + Consumers</t>
  </si>
  <si>
    <t>Do not use text except for details required for data cells (Page 6 - (Column B) - Other, Page 16 - Other (Specify)  (Column B).</t>
  </si>
  <si>
    <t>Reported rates should be recorded as a number only and not words for Pages 11,12,14 and 15 - Maximum Rate (Column A).  For example, if the rate is 10%, it should be entered as “10” (not as 0.10, ten per cent or 10%).</t>
  </si>
  <si>
    <t>Reported years should be recorded as a number only and not words for Page 13 - Maximum Period (Column A).  For example, if the period is 24 years, it should be entered as "24" (not as 24 years).</t>
  </si>
  <si>
    <t>DATE CHECK</t>
  </si>
  <si>
    <t>CONVERTING TO .XLSX AND SAVING FOR SUBMISSION</t>
  </si>
  <si>
    <t xml:space="preserve">Select the "Convert to (.xlsx) and Save" button on the "CBTT VALIDATION" tab to save the final version for submission.  </t>
  </si>
  <si>
    <t>Follow the prompts to break all external links and save the return as .xlsx.</t>
  </si>
  <si>
    <t>Please ensure there are no validation errors on the "CBTT VALIDATION" tab after links are broken.</t>
  </si>
  <si>
    <t>Once the steps above are completed the submission can be uploaded into GoAnywhere.</t>
  </si>
  <si>
    <t>Ensure when links are broken the files are checked for text references which have to be deleted/amended (#Ref, FALSE! etc.) prior to submission. Refer to section “CONVERTING TO .XLSX AND SAVING FOR SUBMISSION”  for further details.</t>
  </si>
  <si>
    <t>V1.2</t>
  </si>
  <si>
    <t>10/28/2024</t>
  </si>
  <si>
    <t>DETAILS ON OTHER PURPOSES FOR CONSUMER LOANS</t>
  </si>
  <si>
    <t>V A L U E ( $000 )</t>
  </si>
  <si>
    <t>CIBC Caribbean Bank Limited (Trinidad and Tobago)</t>
  </si>
  <si>
    <t>Resubmissions must have the same file name structure as listed in 14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</si>
</sst>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00"/>
    <numFmt numFmtId="166" formatCode="[$-409]mmm\-yy;@"/>
    <numFmt numFmtId="167" formatCode="yy"/>
    <numFmt numFmtId="168" formatCode="yyyy"/>
    <numFmt numFmtId="169" formatCode="#,##0;[Red]&quot;no minus&quot;;\-0\-"/>
    <numFmt numFmtId="170" formatCode="m/d/yyyy;@"/>
    <numFmt numFmtId="171" formatCode="0.00000"/>
  </numFmts>
  <fonts count="48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MS Sans Serif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name val="Times New Roman"/>
      <family val="1"/>
    </font>
    <font>
      <sz val="15"/>
      <name val="Times New Roman"/>
      <family val="1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b/>
      <u/>
      <sz val="11"/>
      <color rgb="FF990033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990033"/>
      <name val="Calibri"/>
      <family val="2"/>
      <scheme val="minor"/>
    </font>
    <font>
      <b/>
      <sz val="10"/>
      <color indexed="10"/>
      <name val="TimesNewRomanPS"/>
    </font>
    <font>
      <sz val="10"/>
      <name val="Helv"/>
    </font>
    <font>
      <sz val="11"/>
      <color indexed="8"/>
      <name val="Calibri"/>
      <family val="2"/>
    </font>
    <font>
      <b/>
      <sz val="10"/>
      <color indexed="12"/>
      <name val="TimesNewRomanPS"/>
    </font>
    <font>
      <sz val="10"/>
      <name val="TimesNewRomanPS"/>
    </font>
    <font>
      <b/>
      <i/>
      <sz val="10"/>
      <color indexed="16"/>
      <name val="TimesNewRomanPS"/>
    </font>
    <font>
      <b/>
      <sz val="12"/>
      <color indexed="10"/>
      <name val="TimesNewRomanPS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5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Calibri"/>
      <family val="2"/>
      <scheme val="minor"/>
    </font>
    <font>
      <b/>
      <sz val="11"/>
      <color rgb="FF990033"/>
      <name val="Calibri"/>
      <family val="2"/>
    </font>
    <font>
      <b/>
      <sz val="11"/>
      <color rgb="FF000000"/>
      <name val="Calibri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21">
    <xf numFmtId="0" fontId="0" fillId="0" borderId="0"/>
    <xf numFmtId="0" fontId="3" fillId="0" borderId="0"/>
    <xf numFmtId="0" fontId="26" fillId="0" borderId="0"/>
    <xf numFmtId="0" fontId="27" fillId="0" borderId="0"/>
    <xf numFmtId="0" fontId="1" fillId="0" borderId="0"/>
    <xf numFmtId="0" fontId="29" fillId="0" borderId="0" applyNumberFormat="0" applyFill="0" applyBorder="0" applyAlignment="0" applyProtection="0"/>
    <xf numFmtId="0" fontId="33" fillId="0" borderId="0">
      <alignment vertical="top" wrapText="1"/>
    </xf>
    <xf numFmtId="4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164" fontId="27" fillId="0" borderId="0" applyFont="0" applyFill="0" applyBorder="0" applyAlignment="0" applyProtection="0"/>
    <xf numFmtId="8" fontId="34" fillId="0" borderId="0" applyFont="0" applyFill="0" applyBorder="0" applyAlignment="0" applyProtection="0"/>
    <xf numFmtId="0" fontId="36" fillId="0" borderId="4" applyProtection="0">
      <alignment vertical="top" wrapText="1"/>
    </xf>
    <xf numFmtId="0" fontId="1" fillId="0" borderId="0"/>
    <xf numFmtId="0" fontId="1" fillId="0" borderId="0"/>
    <xf numFmtId="0" fontId="28" fillId="0" borderId="0"/>
    <xf numFmtId="0" fontId="1" fillId="0" borderId="0"/>
    <xf numFmtId="169" fontId="37" fillId="0" borderId="5" applyFont="0" applyBorder="0">
      <alignment horizontal="right"/>
      <protection locked="0"/>
    </xf>
    <xf numFmtId="0" fontId="38" fillId="0" borderId="4" applyBorder="0" applyAlignment="0" applyProtection="0">
      <alignment horizontal="center"/>
    </xf>
    <xf numFmtId="0" fontId="37" fillId="0" borderId="5">
      <alignment horizontal="right"/>
      <protection locked="0"/>
    </xf>
    <xf numFmtId="0" fontId="39" fillId="0" borderId="0"/>
    <xf numFmtId="0" fontId="27" fillId="0" borderId="0"/>
  </cellStyleXfs>
  <cellXfs count="235">
    <xf numFmtId="0" fontId="0" fillId="0" borderId="0" xfId="0"/>
    <xf numFmtId="0" fontId="5" fillId="3" borderId="0" xfId="1" applyFont="1" applyFill="1" applyBorder="1" applyAlignment="1"/>
    <xf numFmtId="0" fontId="5" fillId="4" borderId="0" xfId="1" applyFont="1" applyFill="1" applyBorder="1" applyAlignment="1"/>
    <xf numFmtId="0" fontId="10" fillId="0" borderId="0" xfId="0" applyFont="1" applyProtection="1">
      <protection locked="0"/>
    </xf>
    <xf numFmtId="0" fontId="2" fillId="0" borderId="0" xfId="1" applyFont="1" applyBorder="1"/>
    <xf numFmtId="0" fontId="2" fillId="0" borderId="0" xfId="1" applyFont="1"/>
    <xf numFmtId="0" fontId="5" fillId="4" borderId="0" xfId="1" applyFont="1" applyFill="1" applyBorder="1" applyAlignment="1">
      <alignment horizontal="center"/>
    </xf>
    <xf numFmtId="0" fontId="15" fillId="4" borderId="0" xfId="1" applyFont="1" applyFill="1" applyBorder="1" applyAlignment="1">
      <alignment horizontal="right"/>
    </xf>
    <xf numFmtId="0" fontId="17" fillId="0" borderId="0" xfId="0" applyFont="1"/>
    <xf numFmtId="0" fontId="16" fillId="0" borderId="0" xfId="0" applyFont="1" applyBorder="1"/>
    <xf numFmtId="0" fontId="16" fillId="0" borderId="0" xfId="0" applyFont="1" applyAlignment="1"/>
    <xf numFmtId="0" fontId="16" fillId="0" borderId="0" xfId="0" applyFont="1"/>
    <xf numFmtId="0" fontId="17" fillId="0" borderId="0" xfId="0" quotePrefix="1" applyFont="1" applyAlignment="1">
      <alignment horizontal="left"/>
    </xf>
    <xf numFmtId="0" fontId="17" fillId="0" borderId="0" xfId="0" applyFont="1" applyBorder="1"/>
    <xf numFmtId="0" fontId="17" fillId="0" borderId="0" xfId="0" applyFont="1" applyFill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0" fontId="16" fillId="0" borderId="0" xfId="0" applyFont="1" applyBorder="1" applyAlignment="1">
      <alignment horizontal="left"/>
    </xf>
    <xf numFmtId="0" fontId="17" fillId="0" borderId="1" xfId="0" applyFont="1" applyBorder="1"/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21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23" fillId="0" borderId="0" xfId="0" applyFont="1"/>
    <xf numFmtId="0" fontId="25" fillId="0" borderId="0" xfId="0" quotePrefix="1" applyFont="1" applyAlignment="1">
      <alignment horizontal="left"/>
    </xf>
    <xf numFmtId="0" fontId="23" fillId="0" borderId="0" xfId="0" applyFont="1" applyBorder="1"/>
    <xf numFmtId="0" fontId="25" fillId="0" borderId="0" xfId="0" applyFont="1"/>
    <xf numFmtId="0" fontId="23" fillId="0" borderId="1" xfId="0" applyFont="1" applyBorder="1"/>
    <xf numFmtId="0" fontId="25" fillId="0" borderId="0" xfId="0" applyFont="1" applyAlignment="1">
      <alignment horizontal="left"/>
    </xf>
    <xf numFmtId="0" fontId="21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20" fillId="0" borderId="0" xfId="0" applyFont="1"/>
    <xf numFmtId="0" fontId="17" fillId="0" borderId="1" xfId="0" applyFont="1" applyBorder="1" applyAlignment="1">
      <alignment horizontal="right"/>
    </xf>
    <xf numFmtId="0" fontId="17" fillId="0" borderId="0" xfId="0" applyFont="1" applyAlignment="1">
      <alignment horizontal="fill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17" fillId="0" borderId="0" xfId="0" quotePrefix="1" applyFont="1"/>
    <xf numFmtId="0" fontId="21" fillId="0" borderId="0" xfId="0" applyFont="1" applyAlignment="1">
      <alignment horizontal="center"/>
    </xf>
    <xf numFmtId="0" fontId="17" fillId="0" borderId="0" xfId="0" quotePrefix="1" applyFont="1" applyAlignment="1">
      <alignment horizontal="centerContinuous"/>
    </xf>
    <xf numFmtId="0" fontId="23" fillId="0" borderId="0" xfId="0" applyFont="1" applyAlignment="1"/>
    <xf numFmtId="0" fontId="23" fillId="0" borderId="0" xfId="0" applyFont="1" applyAlignment="1">
      <alignment horizontal="left"/>
    </xf>
    <xf numFmtId="0" fontId="23" fillId="0" borderId="0" xfId="0" quotePrefix="1" applyFont="1"/>
    <xf numFmtId="17" fontId="23" fillId="0" borderId="0" xfId="0" applyNumberFormat="1" applyFont="1" applyAlignment="1">
      <alignment horizontal="left"/>
    </xf>
    <xf numFmtId="168" fontId="23" fillId="0" borderId="0" xfId="0" applyNumberFormat="1" applyFont="1" applyAlignment="1">
      <alignment horizontal="left"/>
    </xf>
    <xf numFmtId="0" fontId="23" fillId="0" borderId="0" xfId="0" applyFont="1" applyAlignment="1">
      <alignment horizontal="right"/>
    </xf>
    <xf numFmtId="0" fontId="17" fillId="0" borderId="1" xfId="0" applyFont="1" applyBorder="1" applyAlignment="1"/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0" xfId="0" applyFont="1" applyBorder="1" applyAlignment="1">
      <alignment horizontal="right"/>
    </xf>
    <xf numFmtId="0" fontId="21" fillId="0" borderId="0" xfId="0" applyFont="1" applyAlignment="1"/>
    <xf numFmtId="0" fontId="21" fillId="0" borderId="0" xfId="0" quotePrefix="1" applyFont="1" applyAlignment="1">
      <alignment horizontal="centerContinuous"/>
    </xf>
    <xf numFmtId="0" fontId="17" fillId="0" borderId="0" xfId="0" quotePrefix="1" applyFont="1" applyAlignment="1">
      <alignment horizontal="center"/>
    </xf>
    <xf numFmtId="0" fontId="23" fillId="0" borderId="0" xfId="0" quotePrefix="1" applyFont="1" applyAlignment="1">
      <alignment horizontal="left"/>
    </xf>
    <xf numFmtId="16" fontId="23" fillId="0" borderId="0" xfId="0" applyNumberFormat="1" applyFont="1"/>
    <xf numFmtId="165" fontId="17" fillId="0" borderId="0" xfId="0" applyNumberFormat="1" applyFont="1" applyAlignment="1">
      <alignment horizontal="centerContinuous"/>
    </xf>
    <xf numFmtId="165" fontId="21" fillId="0" borderId="0" xfId="0" applyNumberFormat="1" applyFont="1" applyAlignment="1">
      <alignment horizontal="centerContinuous"/>
    </xf>
    <xf numFmtId="165" fontId="17" fillId="0" borderId="0" xfId="0" quotePrefix="1" applyNumberFormat="1" applyFont="1" applyAlignment="1">
      <alignment horizontal="centerContinuous"/>
    </xf>
    <xf numFmtId="165" fontId="23" fillId="0" borderId="0" xfId="0" applyNumberFormat="1" applyFont="1" applyAlignment="1">
      <alignment horizontal="centerContinuous"/>
    </xf>
    <xf numFmtId="0" fontId="23" fillId="0" borderId="0" xfId="0" quotePrefix="1" applyFont="1" applyAlignment="1"/>
    <xf numFmtId="165" fontId="23" fillId="0" borderId="0" xfId="0" applyNumberFormat="1" applyFont="1" applyAlignment="1">
      <alignment horizontal="left"/>
    </xf>
    <xf numFmtId="0" fontId="17" fillId="0" borderId="0" xfId="0" quotePrefix="1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quotePrefix="1" applyFont="1" applyAlignment="1">
      <alignment horizontal="centerContinuous" vertical="center"/>
    </xf>
    <xf numFmtId="0" fontId="22" fillId="0" borderId="0" xfId="0" applyFont="1" applyBorder="1" applyAlignment="1">
      <alignment horizontal="centerContinuous"/>
    </xf>
    <xf numFmtId="0" fontId="19" fillId="0" borderId="0" xfId="0" applyFont="1" applyAlignment="1">
      <alignment horizontal="center"/>
    </xf>
    <xf numFmtId="5" fontId="21" fillId="0" borderId="0" xfId="0" quotePrefix="1" applyNumberFormat="1" applyFont="1" applyAlignment="1">
      <alignment horizontal="centerContinuous"/>
    </xf>
    <xf numFmtId="10" fontId="17" fillId="0" borderId="0" xfId="0" applyNumberFormat="1" applyFont="1" applyAlignment="1">
      <alignment horizontal="centerContinuous"/>
    </xf>
    <xf numFmtId="0" fontId="17" fillId="0" borderId="0" xfId="0" applyFont="1" applyBorder="1" applyAlignment="1">
      <alignment horizontal="centerContinuous"/>
    </xf>
    <xf numFmtId="5" fontId="21" fillId="0" borderId="0" xfId="0" quotePrefix="1" applyNumberFormat="1" applyFont="1" applyAlignment="1">
      <alignment horizontal="center"/>
    </xf>
    <xf numFmtId="10" fontId="17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/>
    </xf>
    <xf numFmtId="0" fontId="21" fillId="0" borderId="0" xfId="0" quotePrefix="1" applyFont="1" applyAlignment="1">
      <alignment horizontal="center"/>
    </xf>
    <xf numFmtId="0" fontId="21" fillId="0" borderId="0" xfId="0" quotePrefix="1" applyFont="1"/>
    <xf numFmtId="8" fontId="17" fillId="0" borderId="0" xfId="0" quotePrefix="1" applyNumberFormat="1" applyFont="1" applyFill="1" applyAlignment="1">
      <alignment horizontal="center"/>
    </xf>
    <xf numFmtId="0" fontId="17" fillId="0" borderId="0" xfId="0" quotePrefix="1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21" fillId="0" borderId="0" xfId="0" quotePrefix="1" applyFont="1" applyFill="1" applyAlignment="1">
      <alignment horizontal="left"/>
    </xf>
    <xf numFmtId="0" fontId="21" fillId="0" borderId="0" xfId="2" applyFont="1" applyBorder="1" applyAlignment="1"/>
    <xf numFmtId="0" fontId="17" fillId="0" borderId="0" xfId="2" applyFont="1" applyBorder="1"/>
    <xf numFmtId="0" fontId="17" fillId="0" borderId="0" xfId="2" applyFont="1" applyBorder="1" applyAlignment="1">
      <alignment horizontal="center"/>
    </xf>
    <xf numFmtId="0" fontId="17" fillId="0" borderId="0" xfId="0" applyFont="1" applyFill="1" applyAlignment="1">
      <alignment horizontal="right"/>
    </xf>
    <xf numFmtId="0" fontId="17" fillId="0" borderId="0" xfId="0" applyFont="1" applyFill="1" applyBorder="1"/>
    <xf numFmtId="0" fontId="17" fillId="0" borderId="0" xfId="0" applyFont="1" applyFill="1" applyAlignment="1">
      <alignment vertical="top"/>
    </xf>
    <xf numFmtId="167" fontId="17" fillId="0" borderId="0" xfId="0" applyNumberFormat="1" applyFont="1" applyFill="1" applyAlignment="1">
      <alignment vertical="top"/>
    </xf>
    <xf numFmtId="0" fontId="40" fillId="0" borderId="0" xfId="0" applyFont="1" applyFill="1" applyAlignment="1">
      <alignment vertical="top"/>
    </xf>
    <xf numFmtId="0" fontId="17" fillId="0" borderId="0" xfId="0" applyFont="1" applyFill="1" applyAlignment="1"/>
    <xf numFmtId="0" fontId="40" fillId="0" borderId="0" xfId="0" applyFont="1" applyFill="1" applyAlignment="1"/>
    <xf numFmtId="0" fontId="17" fillId="0" borderId="0" xfId="0" quotePrefix="1" applyFont="1" applyFill="1" applyAlignment="1">
      <alignment vertical="top"/>
    </xf>
    <xf numFmtId="0" fontId="40" fillId="0" borderId="0" xfId="0" quotePrefix="1" applyFont="1" applyFill="1" applyAlignment="1">
      <alignment horizontal="left" vertical="top"/>
    </xf>
    <xf numFmtId="0" fontId="40" fillId="0" borderId="0" xfId="0" quotePrefix="1" applyFont="1" applyFill="1" applyAlignment="1">
      <alignment vertical="top"/>
    </xf>
    <xf numFmtId="0" fontId="41" fillId="0" borderId="9" xfId="20" applyFont="1" applyBorder="1" applyAlignment="1" applyProtection="1">
      <alignment horizontal="left" wrapText="1"/>
    </xf>
    <xf numFmtId="0" fontId="42" fillId="0" borderId="9" xfId="20" applyFont="1" applyBorder="1" applyAlignment="1" applyProtection="1">
      <alignment horizontal="center" wrapText="1"/>
    </xf>
    <xf numFmtId="0" fontId="41" fillId="0" borderId="9" xfId="20" applyFont="1" applyFill="1" applyBorder="1" applyAlignment="1" applyProtection="1">
      <alignment horizontal="left" wrapText="1"/>
    </xf>
    <xf numFmtId="0" fontId="17" fillId="0" borderId="9" xfId="20" applyFont="1" applyFill="1" applyBorder="1" applyAlignment="1" applyProtection="1">
      <alignment wrapText="1"/>
    </xf>
    <xf numFmtId="0" fontId="17" fillId="0" borderId="0" xfId="20" applyFont="1" applyAlignment="1" applyProtection="1">
      <alignment wrapText="1"/>
    </xf>
    <xf numFmtId="0" fontId="17" fillId="0" borderId="10" xfId="20" applyFont="1" applyFill="1" applyBorder="1" applyAlignment="1" applyProtection="1">
      <alignment wrapText="1"/>
    </xf>
    <xf numFmtId="0" fontId="42" fillId="0" borderId="9" xfId="20" applyFont="1" applyFill="1" applyBorder="1" applyAlignment="1" applyProtection="1">
      <alignment horizontal="center" wrapText="1"/>
    </xf>
    <xf numFmtId="0" fontId="41" fillId="0" borderId="10" xfId="20" applyFont="1" applyFill="1" applyBorder="1" applyAlignment="1" applyProtection="1">
      <alignment horizontal="left" wrapText="1"/>
    </xf>
    <xf numFmtId="0" fontId="17" fillId="8" borderId="0" xfId="0" applyFont="1" applyFill="1" applyAlignment="1"/>
    <xf numFmtId="0" fontId="17" fillId="8" borderId="0" xfId="0" applyFont="1" applyFill="1" applyAlignment="1">
      <alignment horizontal="right"/>
    </xf>
    <xf numFmtId="0" fontId="17" fillId="8" borderId="0" xfId="0" applyFont="1" applyFill="1" applyAlignment="1">
      <alignment vertical="top"/>
    </xf>
    <xf numFmtId="0" fontId="17" fillId="0" borderId="0" xfId="0" applyFont="1" applyFill="1" applyAlignment="1">
      <alignment horizontal="centerContinuous"/>
    </xf>
    <xf numFmtId="0" fontId="16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/>
    </xf>
    <xf numFmtId="0" fontId="17" fillId="0" borderId="1" xfId="0" applyFont="1" applyBorder="1" applyAlignment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7" fillId="0" borderId="1" xfId="0" applyFont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 applyProtection="1">
      <alignment horizontal="centerContinuous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5" fillId="0" borderId="0" xfId="4" applyFont="1" applyAlignment="1" applyProtection="1">
      <alignment horizontal="center"/>
    </xf>
    <xf numFmtId="0" fontId="11" fillId="6" borderId="0" xfId="4" applyFont="1" applyFill="1" applyAlignment="1" applyProtection="1">
      <alignment horizontal="center"/>
    </xf>
    <xf numFmtId="0" fontId="5" fillId="0" borderId="0" xfId="4" applyFont="1" applyProtection="1"/>
    <xf numFmtId="0" fontId="5" fillId="0" borderId="0" xfId="4" applyFont="1" applyAlignment="1" applyProtection="1">
      <alignment wrapText="1"/>
    </xf>
    <xf numFmtId="0" fontId="5" fillId="0" borderId="0" xfId="4" applyFont="1" applyFill="1" applyAlignment="1" applyProtection="1">
      <alignment wrapText="1"/>
    </xf>
    <xf numFmtId="0" fontId="1" fillId="0" borderId="0" xfId="4" applyFont="1" applyProtection="1"/>
    <xf numFmtId="0" fontId="17" fillId="0" borderId="0" xfId="0" applyFont="1" applyAlignment="1" applyProtection="1">
      <alignment vertical="top"/>
    </xf>
    <xf numFmtId="0" fontId="17" fillId="0" borderId="0" xfId="0" applyFont="1" applyProtection="1"/>
    <xf numFmtId="0" fontId="17" fillId="5" borderId="0" xfId="0" applyFont="1" applyFill="1" applyBorder="1" applyProtection="1"/>
    <xf numFmtId="0" fontId="17" fillId="0" borderId="0" xfId="0" applyFont="1" applyBorder="1" applyProtection="1"/>
    <xf numFmtId="0" fontId="17" fillId="0" borderId="0" xfId="0" applyFont="1" applyFill="1" applyBorder="1" applyProtection="1"/>
    <xf numFmtId="167" fontId="17" fillId="0" borderId="0" xfId="0" applyNumberFormat="1" applyFont="1" applyFill="1" applyAlignment="1" applyProtection="1">
      <alignment vertical="top"/>
    </xf>
    <xf numFmtId="0" fontId="40" fillId="0" borderId="0" xfId="0" applyFont="1" applyAlignment="1" applyProtection="1">
      <alignment vertical="top"/>
    </xf>
    <xf numFmtId="0" fontId="17" fillId="0" borderId="0" xfId="0" applyFont="1" applyAlignment="1" applyProtection="1"/>
    <xf numFmtId="0" fontId="40" fillId="0" borderId="0" xfId="0" applyFont="1" applyAlignment="1" applyProtection="1"/>
    <xf numFmtId="0" fontId="17" fillId="0" borderId="0" xfId="0" quotePrefix="1" applyFont="1" applyAlignment="1" applyProtection="1">
      <alignment vertical="top"/>
    </xf>
    <xf numFmtId="0" fontId="17" fillId="0" borderId="0" xfId="0" quotePrefix="1" applyFont="1" applyAlignment="1" applyProtection="1">
      <alignment horizontal="left"/>
    </xf>
    <xf numFmtId="0" fontId="40" fillId="0" borderId="0" xfId="0" quotePrefix="1" applyFont="1" applyAlignment="1" applyProtection="1">
      <alignment horizontal="left" vertical="top"/>
    </xf>
    <xf numFmtId="0" fontId="40" fillId="0" borderId="0" xfId="0" quotePrefix="1" applyFont="1" applyAlignment="1" applyProtection="1">
      <alignment vertical="top"/>
    </xf>
    <xf numFmtId="0" fontId="17" fillId="0" borderId="0" xfId="0" applyFont="1" applyFill="1" applyProtection="1"/>
    <xf numFmtId="0" fontId="17" fillId="0" borderId="0" xfId="20" applyFont="1" applyProtection="1"/>
    <xf numFmtId="0" fontId="21" fillId="7" borderId="9" xfId="20" applyFont="1" applyFill="1" applyBorder="1" applyAlignment="1" applyProtection="1">
      <alignment horizontal="center"/>
    </xf>
    <xf numFmtId="0" fontId="0" fillId="0" borderId="0" xfId="0" applyProtection="1"/>
    <xf numFmtId="0" fontId="21" fillId="7" borderId="9" xfId="20" applyFont="1" applyFill="1" applyBorder="1" applyAlignment="1" applyProtection="1">
      <alignment horizontal="center" vertical="center"/>
    </xf>
    <xf numFmtId="0" fontId="41" fillId="0" borderId="9" xfId="20" applyFont="1" applyFill="1" applyBorder="1" applyAlignment="1" applyProtection="1">
      <alignment wrapText="1"/>
    </xf>
    <xf numFmtId="0" fontId="5" fillId="0" borderId="9" xfId="20" applyFont="1" applyFill="1" applyBorder="1" applyAlignment="1" applyProtection="1">
      <alignment wrapText="1"/>
    </xf>
    <xf numFmtId="0" fontId="17" fillId="0" borderId="8" xfId="20" applyFont="1" applyFill="1" applyBorder="1" applyAlignment="1" applyProtection="1">
      <alignment wrapText="1"/>
    </xf>
    <xf numFmtId="0" fontId="9" fillId="0" borderId="0" xfId="0" applyFont="1" applyProtection="1">
      <protection locked="0"/>
    </xf>
    <xf numFmtId="166" fontId="10" fillId="0" borderId="0" xfId="0" applyNumberFormat="1" applyFont="1" applyProtection="1">
      <protection locked="0"/>
    </xf>
    <xf numFmtId="17" fontId="10" fillId="0" borderId="0" xfId="0" applyNumberFormat="1" applyFont="1" applyProtection="1">
      <protection locked="0"/>
    </xf>
    <xf numFmtId="0" fontId="10" fillId="0" borderId="0" xfId="0" applyNumberFormat="1" applyFont="1" applyProtection="1">
      <protection locked="0"/>
    </xf>
    <xf numFmtId="168" fontId="10" fillId="0" borderId="0" xfId="0" applyNumberFormat="1" applyFont="1" applyProtection="1">
      <protection locked="0"/>
    </xf>
    <xf numFmtId="0" fontId="17" fillId="0" borderId="0" xfId="0" applyFont="1" applyAlignment="1" applyProtection="1">
      <alignment horizontal="centerContinuous"/>
    </xf>
    <xf numFmtId="0" fontId="17" fillId="0" borderId="0" xfId="0" applyFont="1" applyFill="1" applyAlignment="1" applyProtection="1">
      <alignment horizontal="left"/>
    </xf>
    <xf numFmtId="0" fontId="23" fillId="0" borderId="0" xfId="0" applyFont="1" applyAlignment="1" applyProtection="1">
      <alignment horizontal="centerContinuous"/>
    </xf>
    <xf numFmtId="0" fontId="22" fillId="0" borderId="0" xfId="0" applyFont="1" applyAlignment="1" applyProtection="1">
      <alignment horizontal="centerContinuous"/>
    </xf>
    <xf numFmtId="0" fontId="24" fillId="0" borderId="0" xfId="0" applyFont="1" applyAlignment="1" applyProtection="1">
      <alignment horizontal="centerContinuous"/>
    </xf>
    <xf numFmtId="0" fontId="22" fillId="0" borderId="0" xfId="0" applyFont="1" applyAlignment="1" applyProtection="1">
      <alignment horizontal="left" vertical="center"/>
    </xf>
    <xf numFmtId="0" fontId="23" fillId="0" borderId="0" xfId="0" applyFont="1" applyProtection="1"/>
    <xf numFmtId="0" fontId="23" fillId="0" borderId="0" xfId="0" quotePrefix="1" applyFont="1" applyProtection="1"/>
    <xf numFmtId="0" fontId="23" fillId="0" borderId="0" xfId="0" applyFont="1" applyAlignment="1" applyProtection="1">
      <alignment horizontal="left"/>
    </xf>
    <xf numFmtId="17" fontId="23" fillId="0" borderId="0" xfId="0" applyNumberFormat="1" applyFont="1" applyAlignment="1" applyProtection="1">
      <alignment horizontal="left"/>
    </xf>
    <xf numFmtId="168" fontId="23" fillId="0" borderId="0" xfId="0" applyNumberFormat="1" applyFont="1" applyAlignment="1" applyProtection="1">
      <alignment horizontal="left"/>
    </xf>
    <xf numFmtId="0" fontId="21" fillId="0" borderId="0" xfId="0" applyFont="1" applyAlignment="1" applyProtection="1">
      <alignment horizontal="centerContinuous"/>
    </xf>
    <xf numFmtId="0" fontId="21" fillId="0" borderId="0" xfId="0" quotePrefix="1" applyFont="1" applyAlignment="1" applyProtection="1">
      <alignment horizontal="centerContinuous"/>
    </xf>
    <xf numFmtId="0" fontId="17" fillId="0" borderId="0" xfId="0" quotePrefix="1" applyFont="1" applyAlignment="1" applyProtection="1">
      <alignment horizontal="centerContinuous"/>
    </xf>
    <xf numFmtId="0" fontId="17" fillId="0" borderId="1" xfId="0" applyFont="1" applyBorder="1" applyProtection="1"/>
    <xf numFmtId="0" fontId="20" fillId="0" borderId="0" xfId="0" applyFont="1" applyProtection="1"/>
    <xf numFmtId="0" fontId="17" fillId="0" borderId="0" xfId="0" quotePrefix="1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21" fillId="0" borderId="0" xfId="0" applyFont="1" applyProtection="1"/>
    <xf numFmtId="0" fontId="17" fillId="0" borderId="0" xfId="0" quotePrefix="1" applyFont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7" fillId="0" borderId="0" xfId="0" quotePrefix="1" applyFont="1" applyAlignment="1" applyProtection="1">
      <alignment horizontal="left" vertical="top" wrapText="1"/>
      <protection locked="0"/>
    </xf>
    <xf numFmtId="0" fontId="30" fillId="0" borderId="0" xfId="5" applyFont="1" applyAlignment="1" applyProtection="1">
      <alignment wrapText="1"/>
      <protection locked="0"/>
    </xf>
    <xf numFmtId="0" fontId="31" fillId="0" borderId="0" xfId="5" applyFont="1" applyAlignment="1" applyProtection="1">
      <alignment wrapText="1"/>
    </xf>
    <xf numFmtId="0" fontId="32" fillId="0" borderId="0" xfId="5" applyFont="1" applyAlignment="1" applyProtection="1">
      <alignment wrapText="1"/>
    </xf>
    <xf numFmtId="0" fontId="17" fillId="0" borderId="0" xfId="0" quotePrefix="1" applyFont="1" applyAlignment="1" applyProtection="1">
      <alignment horizontal="left" wrapText="1"/>
    </xf>
    <xf numFmtId="171" fontId="21" fillId="7" borderId="9" xfId="20" applyNumberFormat="1" applyFont="1" applyFill="1" applyBorder="1" applyAlignment="1" applyProtection="1">
      <alignment horizontal="center" vertical="center"/>
    </xf>
    <xf numFmtId="171" fontId="21" fillId="7" borderId="10" xfId="20" applyNumberFormat="1" applyFont="1" applyFill="1" applyBorder="1" applyAlignment="1" applyProtection="1">
      <alignment horizontal="center" vertical="center"/>
    </xf>
    <xf numFmtId="171" fontId="21" fillId="7" borderId="8" xfId="20" applyNumberFormat="1" applyFont="1" applyFill="1" applyBorder="1" applyAlignment="1" applyProtection="1">
      <alignment horizontal="center"/>
    </xf>
    <xf numFmtId="1" fontId="21" fillId="9" borderId="11" xfId="0" applyNumberFormat="1" applyFont="1" applyFill="1" applyBorder="1" applyAlignment="1" applyProtection="1">
      <alignment horizontal="center" vertical="center"/>
    </xf>
    <xf numFmtId="0" fontId="44" fillId="3" borderId="11" xfId="0" applyFont="1" applyFill="1" applyBorder="1" applyAlignment="1" applyProtection="1">
      <alignment horizontal="center" vertical="center"/>
    </xf>
    <xf numFmtId="0" fontId="15" fillId="2" borderId="6" xfId="20" applyFont="1" applyFill="1" applyBorder="1" applyAlignment="1" applyProtection="1">
      <alignment horizontal="center" vertical="center" wrapText="1"/>
    </xf>
    <xf numFmtId="0" fontId="43" fillId="2" borderId="11" xfId="0" applyFont="1" applyFill="1" applyBorder="1" applyAlignment="1" applyProtection="1">
      <alignment horizontal="center" vertical="center"/>
    </xf>
    <xf numFmtId="0" fontId="15" fillId="4" borderId="8" xfId="20" applyFont="1" applyFill="1" applyBorder="1" applyAlignment="1" applyProtection="1">
      <alignment horizontal="center" vertical="center" wrapText="1"/>
    </xf>
    <xf numFmtId="0" fontId="45" fillId="0" borderId="0" xfId="0" applyFont="1"/>
    <xf numFmtId="0" fontId="46" fillId="0" borderId="0" xfId="0" applyFont="1" applyAlignment="1">
      <alignment wrapText="1"/>
    </xf>
    <xf numFmtId="0" fontId="46" fillId="0" borderId="0" xfId="0" applyFont="1"/>
    <xf numFmtId="0" fontId="17" fillId="0" borderId="0" xfId="0" quotePrefix="1" applyFont="1" applyFill="1" applyAlignment="1" applyProtection="1">
      <alignment horizontal="left"/>
      <protection locked="0"/>
    </xf>
    <xf numFmtId="0" fontId="2" fillId="0" borderId="0" xfId="1" applyFont="1" applyFill="1"/>
    <xf numFmtId="0" fontId="46" fillId="0" borderId="0" xfId="0" applyFont="1" applyFill="1" applyAlignment="1">
      <alignment wrapText="1"/>
    </xf>
    <xf numFmtId="0" fontId="17" fillId="0" borderId="14" xfId="0" applyFont="1" applyBorder="1" applyProtection="1">
      <protection locked="0"/>
    </xf>
    <xf numFmtId="0" fontId="17" fillId="0" borderId="16" xfId="0" applyFont="1" applyBorder="1" applyProtection="1">
      <protection locked="0"/>
    </xf>
    <xf numFmtId="0" fontId="17" fillId="0" borderId="15" xfId="0" applyFont="1" applyBorder="1" applyProtection="1">
      <protection locked="0"/>
    </xf>
    <xf numFmtId="0" fontId="17" fillId="0" borderId="17" xfId="0" applyFont="1" applyBorder="1" applyProtection="1">
      <protection locked="0"/>
    </xf>
    <xf numFmtId="0" fontId="21" fillId="7" borderId="20" xfId="0" applyFont="1" applyFill="1" applyBorder="1" applyAlignment="1">
      <alignment horizontal="center"/>
    </xf>
    <xf numFmtId="0" fontId="21" fillId="7" borderId="21" xfId="0" applyFont="1" applyFill="1" applyBorder="1" applyAlignment="1">
      <alignment horizontal="centerContinuous"/>
    </xf>
    <xf numFmtId="0" fontId="17" fillId="7" borderId="21" xfId="0" applyFont="1" applyFill="1" applyBorder="1"/>
    <xf numFmtId="0" fontId="21" fillId="7" borderId="22" xfId="0" applyFont="1" applyFill="1" applyBorder="1" applyAlignment="1">
      <alignment horizontal="center"/>
    </xf>
    <xf numFmtId="0" fontId="8" fillId="4" borderId="0" xfId="1" applyFont="1" applyFill="1" applyBorder="1" applyAlignment="1">
      <alignment horizontal="center"/>
    </xf>
    <xf numFmtId="0" fontId="7" fillId="4" borderId="0" xfId="1" applyFont="1" applyFill="1" applyBorder="1" applyAlignment="1">
      <alignment horizontal="center"/>
    </xf>
    <xf numFmtId="0" fontId="13" fillId="4" borderId="0" xfId="1" applyFont="1" applyFill="1" applyBorder="1" applyAlignment="1">
      <alignment horizontal="right"/>
    </xf>
    <xf numFmtId="0" fontId="5" fillId="4" borderId="0" xfId="1" applyFont="1" applyFill="1" applyBorder="1" applyAlignment="1">
      <alignment horizontal="center"/>
    </xf>
    <xf numFmtId="170" fontId="7" fillId="3" borderId="0" xfId="1" applyNumberFormat="1" applyFont="1" applyFill="1" applyBorder="1" applyAlignment="1" applyProtection="1">
      <alignment horizontal="center"/>
      <protection locked="0"/>
    </xf>
    <xf numFmtId="0" fontId="14" fillId="4" borderId="2" xfId="0" applyFont="1" applyFill="1" applyBorder="1" applyAlignment="1" applyProtection="1">
      <alignment horizontal="center"/>
      <protection locked="0"/>
    </xf>
    <xf numFmtId="0" fontId="14" fillId="4" borderId="3" xfId="0" applyFont="1" applyFill="1" applyBorder="1" applyAlignment="1" applyProtection="1">
      <alignment horizontal="center"/>
      <protection locked="0"/>
    </xf>
    <xf numFmtId="168" fontId="14" fillId="4" borderId="2" xfId="0" applyNumberFormat="1" applyFont="1" applyFill="1" applyBorder="1" applyAlignment="1" applyProtection="1">
      <alignment horizontal="center"/>
      <protection locked="0"/>
    </xf>
    <xf numFmtId="168" fontId="14" fillId="4" borderId="3" xfId="0" applyNumberFormat="1" applyFont="1" applyFill="1" applyBorder="1" applyAlignment="1" applyProtection="1">
      <alignment horizontal="center"/>
      <protection locked="0"/>
    </xf>
    <xf numFmtId="0" fontId="12" fillId="3" borderId="0" xfId="1" applyFont="1" applyFill="1" applyBorder="1" applyAlignment="1" applyProtection="1">
      <alignment horizontal="center"/>
      <protection locked="0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right"/>
    </xf>
    <xf numFmtId="0" fontId="11" fillId="2" borderId="0" xfId="1" applyFont="1" applyFill="1" applyBorder="1" applyAlignment="1" applyProtection="1">
      <alignment horizontal="center"/>
    </xf>
    <xf numFmtId="0" fontId="15" fillId="2" borderId="7" xfId="20" applyFont="1" applyFill="1" applyBorder="1" applyAlignment="1" applyProtection="1">
      <alignment horizontal="center" vertical="center"/>
    </xf>
    <xf numFmtId="0" fontId="15" fillId="2" borderId="8" xfId="20" applyFont="1" applyFill="1" applyBorder="1" applyAlignment="1" applyProtection="1">
      <alignment horizontal="center" vertical="center"/>
    </xf>
    <xf numFmtId="0" fontId="21" fillId="0" borderId="0" xfId="0" applyFont="1" applyFill="1" applyAlignment="1" applyProtection="1">
      <alignment horizontal="center"/>
    </xf>
    <xf numFmtId="0" fontId="21" fillId="0" borderId="0" xfId="0" applyFont="1" applyFill="1" applyAlignment="1">
      <alignment horizontal="center"/>
    </xf>
    <xf numFmtId="0" fontId="21" fillId="7" borderId="18" xfId="0" applyFont="1" applyFill="1" applyBorder="1" applyAlignment="1">
      <alignment horizontal="left"/>
    </xf>
    <xf numFmtId="0" fontId="21" fillId="7" borderId="19" xfId="0" applyFont="1" applyFill="1" applyBorder="1" applyAlignment="1">
      <alignment horizontal="left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25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26" xfId="0" applyFont="1" applyBorder="1" applyAlignment="1" applyProtection="1">
      <alignment horizontal="center"/>
      <protection locked="0"/>
    </xf>
    <xf numFmtId="0" fontId="17" fillId="0" borderId="27" xfId="0" applyFont="1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center"/>
      <protection locked="0"/>
    </xf>
    <xf numFmtId="3" fontId="17" fillId="0" borderId="1" xfId="1" applyNumberFormat="1" applyFont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7" fillId="0" borderId="1" xfId="3" applyFont="1" applyBorder="1" applyAlignment="1" applyProtection="1">
      <alignment horizontal="center"/>
      <protection locked="0"/>
    </xf>
    <xf numFmtId="0" fontId="21" fillId="0" borderId="0" xfId="3" applyFont="1" applyAlignment="1" applyProtection="1">
      <alignment horizontal="center" vertical="center" wrapText="1"/>
    </xf>
    <xf numFmtId="0" fontId="21" fillId="0" borderId="0" xfId="3" applyFont="1" applyFill="1" applyBorder="1" applyAlignment="1">
      <alignment horizontal="center" wrapText="1"/>
    </xf>
    <xf numFmtId="0" fontId="21" fillId="0" borderId="0" xfId="2" applyFont="1" applyBorder="1" applyAlignment="1">
      <alignment horizontal="center"/>
    </xf>
    <xf numFmtId="0" fontId="21" fillId="0" borderId="0" xfId="2" quotePrefix="1" applyFont="1" applyBorder="1" applyAlignment="1">
      <alignment horizontal="center"/>
    </xf>
    <xf numFmtId="0" fontId="17" fillId="0" borderId="1" xfId="2" applyFont="1" applyBorder="1" applyAlignment="1" applyProtection="1">
      <alignment horizontal="center"/>
      <protection locked="0"/>
    </xf>
    <xf numFmtId="0" fontId="21" fillId="0" borderId="0" xfId="3" quotePrefix="1" applyFont="1" applyFill="1" applyBorder="1" applyAlignment="1">
      <alignment horizontal="center"/>
    </xf>
  </cellXfs>
  <cellStyles count="21">
    <cellStyle name="BANK" xfId="6" xr:uid="{00000000-0005-0000-0000-000000000000}"/>
    <cellStyle name="Comma 2" xfId="7" xr:uid="{00000000-0005-0000-0000-000001000000}"/>
    <cellStyle name="Comma 3" xfId="8" xr:uid="{00000000-0005-0000-0000-000002000000}"/>
    <cellStyle name="Comma 4" xfId="9" xr:uid="{00000000-0005-0000-0000-000003000000}"/>
    <cellStyle name="Currency 2" xfId="10" xr:uid="{00000000-0005-0000-0000-000004000000}"/>
    <cellStyle name="Hyperlink" xfId="5" builtinId="8"/>
    <cellStyle name="INFO HEADER" xfId="11" xr:uid="{00000000-0005-0000-0000-000006000000}"/>
    <cellStyle name="Normal" xfId="0" builtinId="0"/>
    <cellStyle name="Normal 2" xfId="1" xr:uid="{00000000-0005-0000-0000-000008000000}"/>
    <cellStyle name="Normal 2 2" xfId="12" xr:uid="{00000000-0005-0000-0000-000009000000}"/>
    <cellStyle name="Normal 3" xfId="4" xr:uid="{00000000-0005-0000-0000-00000A000000}"/>
    <cellStyle name="Normal 4" xfId="2" xr:uid="{00000000-0005-0000-0000-00000B000000}"/>
    <cellStyle name="Normal 5" xfId="3" xr:uid="{00000000-0005-0000-0000-00000C000000}"/>
    <cellStyle name="Normal 6" xfId="13" xr:uid="{00000000-0005-0000-0000-00000D000000}"/>
    <cellStyle name="Normal 7" xfId="14" xr:uid="{00000000-0005-0000-0000-00000E000000}"/>
    <cellStyle name="Normal 8" xfId="15" xr:uid="{00000000-0005-0000-0000-00000F000000}"/>
    <cellStyle name="Normal 9" xfId="20" xr:uid="{00000000-0005-0000-0000-000010000000}"/>
    <cellStyle name="number" xfId="16" xr:uid="{00000000-0005-0000-0000-000011000000}"/>
    <cellStyle name="SUBHEAD" xfId="17" xr:uid="{00000000-0005-0000-0000-000012000000}"/>
    <cellStyle name="test" xfId="18" xr:uid="{00000000-0005-0000-0000-000013000000}"/>
    <cellStyle name="TOTAL HEADER" xfId="19" xr:uid="{00000000-0005-0000-0000-000014000000}"/>
  </cellStyles>
  <dxfs count="8"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FF"/>
      <color rgb="FFBF0B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</xdr:row>
          <xdr:rowOff>114300</xdr:rowOff>
        </xdr:from>
        <xdr:to>
          <xdr:col>2</xdr:col>
          <xdr:colOff>2143125</xdr:colOff>
          <xdr:row>6</xdr:row>
          <xdr:rowOff>209550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-bank.org.tt\cbtt\BANKS_NFIs\PROJECTS\FEDM\2022\FINAL%20FEDM%20WORKBOOKS\MACROS%20TO%20BREAK%20LINKS%20FOR%20FEDM%20READY%20RETURNS\Locked\Bank_CB20_V1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serv2\cbtt\BANKS_NFIs\PROJECTS\FEDM\2021\ASCII%20&amp;%20DESCRIPTIONS%20%20AMENDMENTS%20OCT%202021\CB40\AMENDED%20TEMPLATE\CB40_Apr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butts/Documents/date%20check%20test/Bank_CB40_V1.1_Jun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serv2\data\Documents%20and%20Settings\aguy\Local%20Settings\Temporary%20Internet%20Files\Content.Outlook\IMI99ADP\BBD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-bank.org.tt\cbtt\BANKS_NFIs\PROJECTS\FEDM\2022\FINAL%20FEDM%20WORKBOOKS\CB30%20CB30A%20Validations\Bank_CB30A_V1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serv2\data\Data%20Submissions\Dec%202012\Completed%20Excel\Demerara%20Life%20Dec%202012%20v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CBTT VALIDATION"/>
      <sheetName val="Institution_Codes"/>
      <sheetName val="General Instructions"/>
      <sheetName val="CB20ASCL"/>
      <sheetName val="CB20ASCL_VALI"/>
      <sheetName val="PG_01_02"/>
      <sheetName val="PG_03"/>
      <sheetName val="PG_04_05"/>
      <sheetName val="PG_06_09"/>
      <sheetName val="PG_10"/>
      <sheetName val="PG_11"/>
      <sheetName val="PG_12_16"/>
      <sheetName val="PG_17"/>
      <sheetName val="PG_18"/>
      <sheetName val="PG_19"/>
      <sheetName val="PG_20"/>
      <sheetName val="PG_21"/>
      <sheetName val="PG_22"/>
      <sheetName val="PG_23"/>
      <sheetName val="PG_24"/>
      <sheetName val="PG_25"/>
      <sheetName val="PG_26"/>
      <sheetName val="PG_27"/>
      <sheetName val="PG_28"/>
      <sheetName val="PG_29"/>
      <sheetName val="PG_30"/>
      <sheetName val="PG_31"/>
      <sheetName val="PG_32"/>
    </sheetNames>
    <sheetDataSet>
      <sheetData sheetId="0"/>
      <sheetData sheetId="1"/>
      <sheetData sheetId="2">
        <row r="2">
          <cell r="D2" t="str">
            <v>January</v>
          </cell>
          <cell r="H2">
            <v>2015</v>
          </cell>
        </row>
        <row r="3">
          <cell r="D3" t="str">
            <v>February</v>
          </cell>
          <cell r="H3">
            <v>2016</v>
          </cell>
        </row>
        <row r="4">
          <cell r="D4" t="str">
            <v>March</v>
          </cell>
          <cell r="H4">
            <v>2017</v>
          </cell>
        </row>
        <row r="5">
          <cell r="D5" t="str">
            <v>April</v>
          </cell>
          <cell r="H5">
            <v>2018</v>
          </cell>
        </row>
        <row r="6">
          <cell r="D6" t="str">
            <v>May</v>
          </cell>
          <cell r="H6">
            <v>2019</v>
          </cell>
        </row>
        <row r="7">
          <cell r="D7" t="str">
            <v>June</v>
          </cell>
          <cell r="H7">
            <v>2020</v>
          </cell>
        </row>
        <row r="8">
          <cell r="D8" t="str">
            <v>July</v>
          </cell>
          <cell r="H8">
            <v>2021</v>
          </cell>
        </row>
        <row r="9">
          <cell r="D9" t="str">
            <v>August</v>
          </cell>
          <cell r="H9">
            <v>2022</v>
          </cell>
        </row>
        <row r="10">
          <cell r="D10" t="str">
            <v>September</v>
          </cell>
          <cell r="H10">
            <v>2023</v>
          </cell>
        </row>
        <row r="11">
          <cell r="D11" t="str">
            <v>October</v>
          </cell>
          <cell r="H11">
            <v>2024</v>
          </cell>
        </row>
        <row r="12">
          <cell r="D12" t="str">
            <v>November</v>
          </cell>
          <cell r="H12">
            <v>2025</v>
          </cell>
        </row>
        <row r="13">
          <cell r="D13" t="str">
            <v>December</v>
          </cell>
          <cell r="H13">
            <v>2026</v>
          </cell>
        </row>
        <row r="14">
          <cell r="H14">
            <v>2027</v>
          </cell>
        </row>
        <row r="15">
          <cell r="H15">
            <v>2028</v>
          </cell>
        </row>
        <row r="16">
          <cell r="H16">
            <v>2029</v>
          </cell>
        </row>
        <row r="17">
          <cell r="H17">
            <v>2030</v>
          </cell>
        </row>
        <row r="18">
          <cell r="H18">
            <v>2031</v>
          </cell>
        </row>
        <row r="19">
          <cell r="H19">
            <v>2032</v>
          </cell>
        </row>
        <row r="20">
          <cell r="H20">
            <v>2033</v>
          </cell>
        </row>
        <row r="21">
          <cell r="H21">
            <v>2034</v>
          </cell>
        </row>
        <row r="22">
          <cell r="H22">
            <v>2035</v>
          </cell>
        </row>
        <row r="23">
          <cell r="H23">
            <v>2036</v>
          </cell>
        </row>
        <row r="24">
          <cell r="H24">
            <v>2037</v>
          </cell>
        </row>
        <row r="25">
          <cell r="H25">
            <v>2038</v>
          </cell>
        </row>
        <row r="26">
          <cell r="H26">
            <v>2039</v>
          </cell>
        </row>
        <row r="27">
          <cell r="H27">
            <v>2040</v>
          </cell>
        </row>
        <row r="28">
          <cell r="H28">
            <v>2041</v>
          </cell>
        </row>
        <row r="29">
          <cell r="H29">
            <v>2042</v>
          </cell>
        </row>
        <row r="30">
          <cell r="H30">
            <v>2043</v>
          </cell>
        </row>
        <row r="31">
          <cell r="H31">
            <v>2044</v>
          </cell>
        </row>
        <row r="32">
          <cell r="H32">
            <v>2045</v>
          </cell>
        </row>
        <row r="33">
          <cell r="H33">
            <v>2046</v>
          </cell>
        </row>
        <row r="34">
          <cell r="H34">
            <v>2047</v>
          </cell>
        </row>
        <row r="35">
          <cell r="H35">
            <v>2048</v>
          </cell>
        </row>
        <row r="36">
          <cell r="H36">
            <v>2049</v>
          </cell>
        </row>
        <row r="37">
          <cell r="H37">
            <v>2050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Page 1"/>
      <sheetName val="Page 2"/>
      <sheetName val="Page 3"/>
      <sheetName val="Page 4"/>
      <sheetName val="Page 5"/>
      <sheetName val="Page 6"/>
      <sheetName val="Ascii"/>
      <sheetName val="Contro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 t="str">
            <v>SELECT INSTITUTION</v>
          </cell>
        </row>
        <row r="8">
          <cell r="B8" t="str">
            <v xml:space="preserve">ANSA Bank Limited </v>
          </cell>
          <cell r="D8" t="str">
            <v>SELECT DATE</v>
          </cell>
        </row>
        <row r="9">
          <cell r="B9" t="str">
            <v xml:space="preserve">ANSA Merchant Bank Limited </v>
          </cell>
          <cell r="D9">
            <v>41364</v>
          </cell>
        </row>
        <row r="10">
          <cell r="B10" t="str">
            <v>Caribbean Finance Company Limited</v>
          </cell>
          <cell r="D10">
            <v>41455</v>
          </cell>
        </row>
        <row r="11">
          <cell r="B11" t="str">
            <v>Citibank (Trinidad &amp; Tobago) Limited</v>
          </cell>
          <cell r="D11">
            <v>41547</v>
          </cell>
        </row>
        <row r="12">
          <cell r="B12" t="str">
            <v>Citicorp Merchant Bank Limited</v>
          </cell>
          <cell r="D12">
            <v>41639</v>
          </cell>
        </row>
        <row r="13">
          <cell r="B13" t="str">
            <v xml:space="preserve">Development Finance Limited </v>
          </cell>
          <cell r="D13">
            <v>41729</v>
          </cell>
        </row>
        <row r="14">
          <cell r="B14" t="str">
            <v xml:space="preserve">Fidelity Finance and Leasing Company Limited </v>
          </cell>
          <cell r="D14">
            <v>41820</v>
          </cell>
        </row>
        <row r="15">
          <cell r="B15" t="str">
            <v>First Citizens Bank Limited</v>
          </cell>
          <cell r="D15">
            <v>41912</v>
          </cell>
        </row>
        <row r="16">
          <cell r="B16" t="str">
            <v>First Citizens Depository Services Limited</v>
          </cell>
          <cell r="D16">
            <v>42004</v>
          </cell>
        </row>
        <row r="17">
          <cell r="B17" t="str">
            <v>First Citizens Trustee Services Limited</v>
          </cell>
          <cell r="D17">
            <v>42094</v>
          </cell>
        </row>
        <row r="18">
          <cell r="B18" t="str">
            <v xml:space="preserve">FirstCaribbean International Bank (Trinidad and Tobago) Limited </v>
          </cell>
          <cell r="D18">
            <v>42185</v>
          </cell>
        </row>
        <row r="19">
          <cell r="B19" t="str">
            <v xml:space="preserve">Guardian Group Trust Limited </v>
          </cell>
          <cell r="D19">
            <v>42277</v>
          </cell>
        </row>
        <row r="20">
          <cell r="B20" t="str">
            <v>Island Finance Trinidad and Tobago Limited</v>
          </cell>
          <cell r="D20">
            <v>42369</v>
          </cell>
        </row>
        <row r="21">
          <cell r="B21" t="str">
            <v xml:space="preserve">JMMB Bank (T&amp;T) Limited </v>
          </cell>
          <cell r="D21">
            <v>42460</v>
          </cell>
        </row>
        <row r="22">
          <cell r="B22" t="str">
            <v>JMMB Express Finance (T&amp;T) Limited</v>
          </cell>
          <cell r="D22">
            <v>42551</v>
          </cell>
        </row>
        <row r="23">
          <cell r="B23" t="str">
            <v xml:space="preserve">Massy Finance GFC Limited </v>
          </cell>
          <cell r="D23">
            <v>42643</v>
          </cell>
        </row>
        <row r="24">
          <cell r="B24" t="str">
            <v>NCB Merchant Bank (Trinidad and Tobago) Limited</v>
          </cell>
          <cell r="D24">
            <v>42735</v>
          </cell>
        </row>
        <row r="25">
          <cell r="B25" t="str">
            <v>RBC Investment Management (Caribbean) Limited</v>
          </cell>
          <cell r="D25">
            <v>42825</v>
          </cell>
        </row>
        <row r="26">
          <cell r="B26" t="str">
            <v>RBC Merchant Bank (Caribbean) Limited</v>
          </cell>
          <cell r="D26">
            <v>42916</v>
          </cell>
        </row>
        <row r="27">
          <cell r="B27" t="str">
            <v>RBC Royal Bank (Trinidad and Tobago) Limited</v>
          </cell>
          <cell r="D27">
            <v>43008</v>
          </cell>
        </row>
        <row r="28">
          <cell r="B28" t="str">
            <v>RBC Trust (Trinidad and Tobago) Limited</v>
          </cell>
          <cell r="D28">
            <v>43100</v>
          </cell>
        </row>
        <row r="29">
          <cell r="B29" t="str">
            <v xml:space="preserve">Republic Bank Limited </v>
          </cell>
          <cell r="D29">
            <v>43190</v>
          </cell>
        </row>
        <row r="30">
          <cell r="B30" t="str">
            <v>Republic Financial Holdings Limited</v>
          </cell>
          <cell r="D30">
            <v>43281</v>
          </cell>
        </row>
        <row r="31">
          <cell r="B31" t="str">
            <v>Scotia Investments Trinidad and Tobago Limited</v>
          </cell>
          <cell r="D31">
            <v>43373</v>
          </cell>
        </row>
        <row r="32">
          <cell r="B32" t="str">
            <v xml:space="preserve">Scotiabank Trinidad and Tobago Limited </v>
          </cell>
          <cell r="D32">
            <v>43465</v>
          </cell>
        </row>
        <row r="33">
          <cell r="D33">
            <v>43555</v>
          </cell>
        </row>
        <row r="34">
          <cell r="D34">
            <v>43646</v>
          </cell>
        </row>
        <row r="35">
          <cell r="D35">
            <v>43738</v>
          </cell>
        </row>
        <row r="36">
          <cell r="D36">
            <v>43830</v>
          </cell>
        </row>
        <row r="37">
          <cell r="D37">
            <v>43921</v>
          </cell>
        </row>
        <row r="38">
          <cell r="D38">
            <v>44012</v>
          </cell>
        </row>
        <row r="39">
          <cell r="D39">
            <v>44104</v>
          </cell>
        </row>
        <row r="40">
          <cell r="D40">
            <v>44196</v>
          </cell>
        </row>
        <row r="41">
          <cell r="D41">
            <v>44286</v>
          </cell>
        </row>
        <row r="42">
          <cell r="D42">
            <v>44377</v>
          </cell>
        </row>
        <row r="43">
          <cell r="D43">
            <v>44469</v>
          </cell>
        </row>
        <row r="44">
          <cell r="D44">
            <v>44561</v>
          </cell>
        </row>
        <row r="45">
          <cell r="D45">
            <v>44651</v>
          </cell>
        </row>
        <row r="46">
          <cell r="D46">
            <v>44742</v>
          </cell>
        </row>
        <row r="47">
          <cell r="D47">
            <v>44834</v>
          </cell>
        </row>
        <row r="48">
          <cell r="D48">
            <v>44926</v>
          </cell>
        </row>
        <row r="49">
          <cell r="D49">
            <v>45016</v>
          </cell>
        </row>
        <row r="50">
          <cell r="D50">
            <v>45107</v>
          </cell>
        </row>
        <row r="51">
          <cell r="D51">
            <v>45199</v>
          </cell>
        </row>
        <row r="52">
          <cell r="D52">
            <v>45291</v>
          </cell>
        </row>
        <row r="53">
          <cell r="D53">
            <v>45382</v>
          </cell>
        </row>
        <row r="54">
          <cell r="D54">
            <v>45473</v>
          </cell>
        </row>
        <row r="55">
          <cell r="D55">
            <v>45565</v>
          </cell>
        </row>
        <row r="56">
          <cell r="D56">
            <v>45657</v>
          </cell>
        </row>
        <row r="57">
          <cell r="D57">
            <v>45747</v>
          </cell>
        </row>
        <row r="58">
          <cell r="D58">
            <v>45838</v>
          </cell>
        </row>
        <row r="59">
          <cell r="D59">
            <v>45930</v>
          </cell>
        </row>
        <row r="60">
          <cell r="D60">
            <v>46022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General Instructions"/>
      <sheetName val="CBTT VALIDATION"/>
      <sheetName val="Page 1"/>
      <sheetName val="Page 2"/>
      <sheetName val="Page 3"/>
      <sheetName val="Page 4"/>
      <sheetName val="Page 5"/>
      <sheetName val="Page 6"/>
      <sheetName val="Ascii"/>
      <sheetName val="Contro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7">
          <cell r="B7" t="str">
            <v>SELECT INSTITUTION</v>
          </cell>
        </row>
        <row r="8">
          <cell r="B8" t="str">
            <v xml:space="preserve">ANSA Bank Limited </v>
          </cell>
        </row>
        <row r="9">
          <cell r="B9" t="str">
            <v xml:space="preserve">ANSA Merchant Bank Limited </v>
          </cell>
        </row>
        <row r="10">
          <cell r="B10" t="str">
            <v>Caribbean Finance Company Limited</v>
          </cell>
        </row>
        <row r="11">
          <cell r="B11" t="str">
            <v>Citibank (Trinidad &amp; Tobago) Limited</v>
          </cell>
        </row>
        <row r="12">
          <cell r="B12" t="str">
            <v>Citicorp Merchant Bank Limited</v>
          </cell>
        </row>
        <row r="13">
          <cell r="B13" t="str">
            <v xml:space="preserve">Development Finance Limited </v>
          </cell>
        </row>
        <row r="14">
          <cell r="B14" t="str">
            <v xml:space="preserve">Fidelity Finance and Leasing Company Limited </v>
          </cell>
        </row>
        <row r="15">
          <cell r="B15" t="str">
            <v>First Citizens Bank Limited</v>
          </cell>
        </row>
        <row r="16">
          <cell r="B16" t="str">
            <v>First Citizens Depository Services Limited</v>
          </cell>
        </row>
        <row r="17">
          <cell r="B17" t="str">
            <v>First Citizens Trustee Services Limited</v>
          </cell>
        </row>
        <row r="18">
          <cell r="B18" t="str">
            <v xml:space="preserve">FirstCaribbean International Bank (Trinidad and Tobago) Limited </v>
          </cell>
        </row>
        <row r="19">
          <cell r="B19" t="str">
            <v xml:space="preserve">Guardian Group Trust Limited </v>
          </cell>
        </row>
        <row r="20">
          <cell r="B20" t="str">
            <v>Island Finance Trinidad and Tobago Limited</v>
          </cell>
        </row>
        <row r="21">
          <cell r="B21" t="str">
            <v xml:space="preserve">JMMB Bank (T&amp;T) Limited </v>
          </cell>
        </row>
        <row r="22">
          <cell r="B22" t="str">
            <v>JMMB Express Finance (T&amp;T) Limited</v>
          </cell>
        </row>
        <row r="23">
          <cell r="B23" t="str">
            <v xml:space="preserve">Massy Finance GFC Limited </v>
          </cell>
        </row>
        <row r="24">
          <cell r="B24" t="str">
            <v>NCB Merchant Bank (Trinidad and Tobago) Limited</v>
          </cell>
        </row>
        <row r="25">
          <cell r="B25" t="str">
            <v>RBC Investment Management (Caribbean) Limited</v>
          </cell>
        </row>
        <row r="26">
          <cell r="B26" t="str">
            <v>RBC Merchant Bank (Caribbean) Limited</v>
          </cell>
        </row>
        <row r="27">
          <cell r="B27" t="str">
            <v>RBC Royal Bank (Trinidad and Tobago) Limited</v>
          </cell>
        </row>
        <row r="28">
          <cell r="B28" t="str">
            <v>RBC Trust (Trinidad and Tobago) Limited</v>
          </cell>
        </row>
        <row r="29">
          <cell r="B29" t="str">
            <v xml:space="preserve">Republic Bank Limited </v>
          </cell>
        </row>
        <row r="30">
          <cell r="B30" t="str">
            <v>Republic Financial Holdings Limited</v>
          </cell>
        </row>
        <row r="31">
          <cell r="B31" t="str">
            <v>Scotia Investments Trinidad and Tobago Limited</v>
          </cell>
        </row>
        <row r="32">
          <cell r="B32" t="str">
            <v xml:space="preserve">Scotiabank Trinidad and Tobago Limited 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G1"/>
      <sheetName val="PG2"/>
      <sheetName val="PG3"/>
      <sheetName val="Mat-Str"/>
      <sheetName val="LAR_FORM_NEW"/>
      <sheetName val="Cb10ascl"/>
      <sheetName val="CB10ASCLL_NEW"/>
      <sheetName val="Codes"/>
    </sheetNames>
    <sheetDataSet>
      <sheetData sheetId="0">
        <row r="6">
          <cell r="A6" t="str">
            <v xml:space="preserve">  Select Institution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 t="str">
            <v xml:space="preserve">  Select Institution</v>
          </cell>
        </row>
        <row r="2">
          <cell r="C2" t="str">
            <v>Ansa Merchant Bank Limited</v>
          </cell>
        </row>
        <row r="3">
          <cell r="C3" t="str">
            <v>Bank of Baroda</v>
          </cell>
        </row>
        <row r="4">
          <cell r="C4" t="str">
            <v>Bank of Nova Scotia</v>
          </cell>
        </row>
        <row r="5">
          <cell r="C5" t="str">
            <v>Citi-Bank</v>
          </cell>
        </row>
        <row r="6">
          <cell r="C6" t="str">
            <v>Citicorp Merchant Bank</v>
          </cell>
        </row>
        <row r="7">
          <cell r="C7" t="str">
            <v>First Caribbean International Bank</v>
          </cell>
        </row>
        <row r="8">
          <cell r="C8" t="str">
            <v>First Citizen's Bank</v>
          </cell>
        </row>
        <row r="9">
          <cell r="C9" t="str">
            <v>Inter Commercial Bank Limited</v>
          </cell>
        </row>
        <row r="10">
          <cell r="C10" t="str">
            <v>RBC Merchant Bank Limited</v>
          </cell>
        </row>
        <row r="11">
          <cell r="C11" t="str">
            <v>RBC Royal Bank Limited</v>
          </cell>
        </row>
        <row r="12">
          <cell r="C12" t="str">
            <v>Republic Bank Limited</v>
          </cell>
        </row>
        <row r="13">
          <cell r="C13" t="str">
            <v>Republic Finance and Merchant Bank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General Instructions"/>
      <sheetName val="CBTT Validations"/>
      <sheetName val="ASCII"/>
      <sheetName val="PAGE1"/>
      <sheetName val="PAGE2"/>
      <sheetName val="PAGE3"/>
      <sheetName val="PAGE4 "/>
      <sheetName val="PAGE5"/>
      <sheetName val="PAGE6"/>
      <sheetName val="PAGE7"/>
      <sheetName val="PAGE8"/>
      <sheetName val="PAGE9"/>
      <sheetName val="PAGE10"/>
      <sheetName val="Controls"/>
      <sheetName val="date"/>
      <sheetName val="Sheet1"/>
    </sheetNames>
    <sheetDataSet>
      <sheetData sheetId="0"/>
      <sheetData sheetId="1"/>
      <sheetData sheetId="2"/>
      <sheetData sheetId="3"/>
      <sheetData sheetId="4">
        <row r="11">
          <cell r="C11" t="str">
            <v>First Citizens Bank Limited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B40"/>
      <sheetName val="CB20"/>
      <sheetName val="1A"/>
      <sheetName val="1B"/>
      <sheetName val="CB201"/>
      <sheetName val="CB202"/>
      <sheetName val="Stat Fund-LT"/>
      <sheetName val="Stat Deposit"/>
      <sheetName val="Stat Fund-MV"/>
      <sheetName val="Notes"/>
      <sheetName val="INSASCII"/>
      <sheetName val="Cod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 xml:space="preserve"> SELECT INSURANCE COMPANY</v>
          </cell>
        </row>
        <row r="2">
          <cell r="C2" t="str">
            <v>American Life and General Insurance Company Limited (General Division)</v>
          </cell>
        </row>
        <row r="3">
          <cell r="C3" t="str">
            <v>American Life and General Insurance Company Limited (Life Division)</v>
          </cell>
        </row>
        <row r="4">
          <cell r="C4" t="str">
            <v>Bancassurance Caribbean Limited</v>
          </cell>
        </row>
        <row r="5">
          <cell r="C5" t="str">
            <v>Bankers Insurance Company of Trinidad and Tobago Limited</v>
          </cell>
        </row>
        <row r="6">
          <cell r="C6" t="str">
            <v>British American Insurance Company (Trinidad) Limited</v>
          </cell>
        </row>
        <row r="7">
          <cell r="C7" t="str">
            <v>Capital Insurance Limited</v>
          </cell>
        </row>
        <row r="8">
          <cell r="C8" t="str">
            <v>Caribbean Atlantic Life Insurance Company Limited</v>
          </cell>
        </row>
        <row r="9">
          <cell r="C9" t="str">
            <v>Caribbean Insurance Company Limited</v>
          </cell>
        </row>
        <row r="10">
          <cell r="C10" t="str">
            <v>Citizen Insurance Company Limited</v>
          </cell>
        </row>
        <row r="11">
          <cell r="C11" t="str">
            <v>Colonial Fire and General Insurance Company Limited</v>
          </cell>
        </row>
        <row r="12">
          <cell r="C12" t="str">
            <v>Colonial Life Insurance Company (Trinidad) Limited</v>
          </cell>
        </row>
        <row r="13">
          <cell r="C13" t="str">
            <v>Cuna Caribbean Insurance Society Limited</v>
          </cell>
        </row>
        <row r="14">
          <cell r="C14" t="str">
            <v>Cuna Mutual Insurance Society</v>
          </cell>
        </row>
        <row r="15">
          <cell r="C15" t="str">
            <v>Demerara Life Assurance Company of Trinidad &amp; Tobago Limited</v>
          </cell>
        </row>
        <row r="16">
          <cell r="C16" t="str">
            <v>Export Import Bank of Trinidad &amp; Tobago (Eximbank) Limited</v>
          </cell>
        </row>
        <row r="17">
          <cell r="C17" t="str">
            <v>Furness Anchorage General Insurance Limited</v>
          </cell>
        </row>
        <row r="18">
          <cell r="C18" t="str">
            <v>Goodwill General Insurance Company Limited</v>
          </cell>
        </row>
        <row r="19">
          <cell r="C19" t="str">
            <v>GTM Insurance Company Limited</v>
          </cell>
        </row>
        <row r="20">
          <cell r="C20" t="str">
            <v>Guardian General Insurance Limited</v>
          </cell>
        </row>
        <row r="21">
          <cell r="C21" t="str">
            <v>Guardian Life of the Caribbean Limited</v>
          </cell>
        </row>
        <row r="22">
          <cell r="C22" t="str">
            <v>Gulf Insurance Limited</v>
          </cell>
        </row>
        <row r="23">
          <cell r="C23" t="str">
            <v>Maritime General Insurance Company Limited</v>
          </cell>
        </row>
        <row r="24">
          <cell r="C24" t="str">
            <v>Maritime Life (Caribbean) Limited</v>
          </cell>
        </row>
        <row r="25">
          <cell r="C25" t="str">
            <v>Mega Insurance Company Limited</v>
          </cell>
        </row>
        <row r="26">
          <cell r="C26" t="str">
            <v>Motor and General Insurance Limited</v>
          </cell>
        </row>
        <row r="27">
          <cell r="C27" t="str">
            <v>Motor One Insurance Company Limited</v>
          </cell>
        </row>
        <row r="28">
          <cell r="C28" t="str">
            <v>Nationwide Insurance Company Limited</v>
          </cell>
        </row>
        <row r="29">
          <cell r="C29" t="str">
            <v>Royal Caribbean Insurance Limited</v>
          </cell>
        </row>
        <row r="30">
          <cell r="C30" t="str">
            <v>Sagicor General Insurance Inc.</v>
          </cell>
        </row>
        <row r="31">
          <cell r="C31" t="str">
            <v>Sagicor Life Inc</v>
          </cell>
        </row>
        <row r="32">
          <cell r="C32" t="str">
            <v>Scotialife Trinidad and Tobago Limited</v>
          </cell>
        </row>
        <row r="33">
          <cell r="C33" t="str">
            <v>Sun Life Assurance Company of Canada</v>
          </cell>
        </row>
        <row r="34">
          <cell r="C34" t="str">
            <v>Tatil Life Assurance Limited</v>
          </cell>
        </row>
        <row r="35">
          <cell r="C35" t="str">
            <v>The Beacon Insurance Company Limited</v>
          </cell>
        </row>
        <row r="36">
          <cell r="C36" t="str">
            <v>The Great Northern Insurance Company Limited</v>
          </cell>
        </row>
        <row r="37">
          <cell r="C37" t="str">
            <v>The Mountain General Insurance Company Limited</v>
          </cell>
        </row>
        <row r="38">
          <cell r="C38" t="str">
            <v>The New India Assurance Company Limited</v>
          </cell>
        </row>
        <row r="39">
          <cell r="C39" t="str">
            <v>The Presidential Insurance Company Limited</v>
          </cell>
        </row>
        <row r="40">
          <cell r="C40" t="str">
            <v>The Reinsurance Company of Trinidad and Tobago Limited</v>
          </cell>
        </row>
        <row r="41">
          <cell r="C41" t="str">
            <v>The Western General Insurance Company Limited</v>
          </cell>
        </row>
        <row r="42">
          <cell r="C42" t="str">
            <v>Trinidad and Tobago Insurance Limited</v>
          </cell>
        </row>
        <row r="43">
          <cell r="C43" t="str">
            <v>United Insurance Company Limited</v>
          </cell>
        </row>
        <row r="44">
          <cell r="C44" t="str">
            <v>United Security Life Insurance Company Limited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entral-bank.org.tt/sites/default/files/page-file-uploads/Instructions%20CB30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-0.249977111117893"/>
  </sheetPr>
  <dimension ref="A1:K14"/>
  <sheetViews>
    <sheetView showGridLines="0" showRowColHeaders="0" tabSelected="1" zoomScale="87" zoomScaleNormal="87" workbookViewId="0">
      <selection activeCell="C7" sqref="C7:J7"/>
    </sheetView>
  </sheetViews>
  <sheetFormatPr defaultColWidth="0" defaultRowHeight="15" zeroHeight="1"/>
  <cols>
    <col min="1" max="2" width="9.42578125" style="5" customWidth="1"/>
    <col min="3" max="5" width="15.42578125" style="5" customWidth="1"/>
    <col min="6" max="6" width="11.42578125" style="5" customWidth="1"/>
    <col min="7" max="7" width="11.5703125" style="5" customWidth="1"/>
    <col min="8" max="10" width="15.42578125" style="5" customWidth="1"/>
    <col min="11" max="11" width="9.42578125" style="5" customWidth="1"/>
    <col min="12" max="16384" width="9.42578125" style="5" hidden="1"/>
  </cols>
  <sheetData>
    <row r="1" spans="2:11"/>
    <row r="2" spans="2:11" ht="18.75">
      <c r="B2" s="4"/>
      <c r="C2" s="208" t="s">
        <v>444</v>
      </c>
      <c r="D2" s="208"/>
      <c r="E2" s="208"/>
      <c r="F2" s="208"/>
      <c r="G2" s="208"/>
      <c r="H2" s="208"/>
      <c r="I2" s="208"/>
      <c r="J2" s="208"/>
    </row>
    <row r="3" spans="2:11" ht="18.75">
      <c r="B3" s="4"/>
      <c r="C3" s="209" t="s">
        <v>764</v>
      </c>
      <c r="D3" s="209"/>
      <c r="E3" s="209"/>
      <c r="F3" s="209"/>
      <c r="G3" s="209"/>
      <c r="H3" s="209"/>
      <c r="I3" s="209"/>
      <c r="J3" s="209"/>
      <c r="K3" s="188"/>
    </row>
    <row r="4" spans="2:11" ht="18.75">
      <c r="B4" s="4"/>
      <c r="C4" s="208" t="s">
        <v>449</v>
      </c>
      <c r="D4" s="208"/>
      <c r="E4" s="208"/>
      <c r="F4" s="208"/>
      <c r="G4" s="208"/>
      <c r="H4" s="208"/>
      <c r="I4" s="208"/>
      <c r="J4" s="208"/>
    </row>
    <row r="5" spans="2:11" ht="18.75">
      <c r="B5" s="4"/>
      <c r="C5" s="208"/>
      <c r="D5" s="208"/>
      <c r="E5" s="208"/>
      <c r="F5" s="208"/>
      <c r="G5" s="208"/>
      <c r="H5" s="208"/>
      <c r="I5" s="208"/>
      <c r="J5" s="208"/>
    </row>
    <row r="6" spans="2:11" ht="39" customHeight="1">
      <c r="B6" s="4"/>
      <c r="C6" s="210" t="s">
        <v>445</v>
      </c>
      <c r="D6" s="210"/>
      <c r="E6" s="210"/>
      <c r="F6" s="210"/>
      <c r="G6" s="210"/>
      <c r="H6" s="210"/>
      <c r="I6" s="210"/>
      <c r="J6" s="210"/>
    </row>
    <row r="7" spans="2:11" ht="23.25">
      <c r="B7" s="4"/>
      <c r="C7" s="207" t="s">
        <v>446</v>
      </c>
      <c r="D7" s="207"/>
      <c r="E7" s="207"/>
      <c r="F7" s="207"/>
      <c r="G7" s="207"/>
      <c r="H7" s="207"/>
      <c r="I7" s="207"/>
      <c r="J7" s="207"/>
    </row>
    <row r="8" spans="2:11" ht="32.25" customHeight="1" thickBot="1">
      <c r="B8" s="4"/>
      <c r="C8" s="199" t="s">
        <v>447</v>
      </c>
      <c r="D8" s="199"/>
      <c r="E8" s="199"/>
      <c r="F8" s="199"/>
      <c r="G8" s="199"/>
      <c r="H8" s="199"/>
      <c r="I8" s="199"/>
      <c r="J8" s="199"/>
    </row>
    <row r="9" spans="2:11" ht="23.25" customHeight="1" thickBot="1">
      <c r="B9" s="4"/>
      <c r="C9" s="200" t="s">
        <v>511</v>
      </c>
      <c r="D9" s="200"/>
      <c r="E9" s="200"/>
      <c r="F9" s="203" t="s">
        <v>516</v>
      </c>
      <c r="G9" s="204"/>
      <c r="H9" s="201"/>
      <c r="I9" s="201"/>
      <c r="J9" s="201"/>
    </row>
    <row r="10" spans="2:11" ht="26.25" customHeight="1" thickBot="1">
      <c r="B10" s="4"/>
      <c r="C10" s="6"/>
      <c r="D10" s="6"/>
      <c r="E10" s="7" t="s">
        <v>512</v>
      </c>
      <c r="F10" s="205">
        <v>45292</v>
      </c>
      <c r="G10" s="206"/>
      <c r="H10" s="6"/>
      <c r="I10" s="6"/>
      <c r="J10" s="6"/>
    </row>
    <row r="11" spans="2:11" ht="19.5">
      <c r="B11" s="4"/>
      <c r="C11" s="199" t="s">
        <v>448</v>
      </c>
      <c r="D11" s="199"/>
      <c r="E11" s="199"/>
      <c r="F11" s="199"/>
      <c r="G11" s="199"/>
      <c r="H11" s="199"/>
      <c r="I11" s="199"/>
      <c r="J11" s="199"/>
    </row>
    <row r="12" spans="2:11" ht="19.5">
      <c r="B12" s="4"/>
      <c r="C12" s="1"/>
      <c r="D12" s="1"/>
      <c r="E12" s="202" t="s">
        <v>765</v>
      </c>
      <c r="F12" s="202"/>
      <c r="G12" s="202"/>
      <c r="H12" s="202"/>
      <c r="I12" s="1"/>
      <c r="J12" s="1"/>
    </row>
    <row r="13" spans="2:11" ht="17.25">
      <c r="C13" s="2"/>
      <c r="D13" s="2"/>
      <c r="E13" s="2"/>
      <c r="F13" s="198" t="s">
        <v>518</v>
      </c>
      <c r="G13" s="198"/>
      <c r="H13" s="2"/>
      <c r="I13" s="2"/>
      <c r="J13" s="2"/>
    </row>
    <row r="14" spans="2:11"/>
  </sheetData>
  <sheetProtection algorithmName="SHA-512" hashValue="m9/NDfIqBM+pH1KcT2UqF6No9A2RNt/EYT9Pz91MgMEcmxljmI09GyIZwm/3KuBUiT03szunL+5DEefkWsQrdg==" saltValue="Q6wqRYRWhlQn2XOKRmvo1A==" spinCount="100000" sheet="1" selectLockedCells="1"/>
  <mergeCells count="14">
    <mergeCell ref="C7:J7"/>
    <mergeCell ref="C2:J2"/>
    <mergeCell ref="C3:J3"/>
    <mergeCell ref="C4:J4"/>
    <mergeCell ref="C5:J5"/>
    <mergeCell ref="C6:J6"/>
    <mergeCell ref="F13:G13"/>
    <mergeCell ref="C8:J8"/>
    <mergeCell ref="C9:E9"/>
    <mergeCell ref="H9:J9"/>
    <mergeCell ref="C11:J11"/>
    <mergeCell ref="E12:H12"/>
    <mergeCell ref="F9:G9"/>
    <mergeCell ref="F10:G10"/>
  </mergeCells>
  <dataValidations count="2">
    <dataValidation type="list" allowBlank="1" showInputMessage="1" showErrorMessage="1" sqref="C12:C13" xr:uid="{00000000-0002-0000-0000-000000000000}">
      <formula1>$C$7:$C$12</formula1>
    </dataValidation>
    <dataValidation type="date" allowBlank="1" showInputMessage="1" showErrorMessage="1" sqref="C12:C13" xr:uid="{00000000-0002-0000-0000-000001000000}">
      <formula1>41275</formula1>
      <formula2>46022</formula2>
    </dataValidation>
  </dataValidations>
  <pageMargins left="6.25E-2" right="0.7" top="0.75" bottom="0.75" header="0.3" footer="0.3"/>
  <pageSetup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Controls!$D$4:$D$7</xm:f>
          </x14:formula1>
          <xm:sqref>F9</xm:sqref>
        </x14:dataValidation>
        <x14:dataValidation type="list" allowBlank="1" showInputMessage="1" showErrorMessage="1" xr:uid="{00000000-0002-0000-0000-000003000000}">
          <x14:formula1>
            <xm:f>Controls!$B$3:$B$27</xm:f>
          </x14:formula1>
          <xm:sqref>C7:J7</xm:sqref>
        </x14:dataValidation>
        <x14:dataValidation type="list" allowBlank="1" showInputMessage="1" showErrorMessage="1" xr:uid="{00000000-0002-0000-0000-000004000000}">
          <x14:formula1>
            <xm:f>Controls!$F$4:$F$38</xm:f>
          </x14:formula1>
          <xm:sqref>F10:G10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R66"/>
  <sheetViews>
    <sheetView showGridLines="0" topLeftCell="A7" zoomScale="96" zoomScaleNormal="96" workbookViewId="0">
      <selection activeCell="Q23" sqref="Q23"/>
    </sheetView>
  </sheetViews>
  <sheetFormatPr defaultColWidth="8.5703125" defaultRowHeight="12.75"/>
  <cols>
    <col min="1" max="1" width="2.5703125" style="8" customWidth="1"/>
    <col min="2" max="2" width="19.42578125" style="8" customWidth="1"/>
    <col min="3" max="3" width="5.5703125" style="8" customWidth="1"/>
    <col min="4" max="4" width="1.5703125" style="8" customWidth="1"/>
    <col min="5" max="5" width="11.42578125" style="8" customWidth="1"/>
    <col min="6" max="6" width="1.5703125" style="8" customWidth="1"/>
    <col min="7" max="7" width="5.5703125" style="8" customWidth="1"/>
    <col min="8" max="8" width="1.5703125" style="8" customWidth="1"/>
    <col min="9" max="9" width="11.42578125" style="8" customWidth="1"/>
    <col min="10" max="10" width="1.5703125" style="8" customWidth="1"/>
    <col min="11" max="11" width="5.5703125" style="8" customWidth="1"/>
    <col min="12" max="12" width="1.5703125" style="8" customWidth="1"/>
    <col min="13" max="13" width="11.42578125" style="8" customWidth="1"/>
    <col min="14" max="14" width="1.5703125" style="8" customWidth="1"/>
    <col min="15" max="15" width="5.5703125" style="8" customWidth="1"/>
    <col min="16" max="16" width="1.5703125" style="8" customWidth="1"/>
    <col min="17" max="17" width="11.42578125" style="8" customWidth="1"/>
    <col min="18" max="16384" width="8.5703125" style="8"/>
  </cols>
  <sheetData>
    <row r="2" spans="1:18">
      <c r="A2" s="43"/>
      <c r="B2" s="24"/>
      <c r="C2" s="24"/>
      <c r="D2" s="24"/>
      <c r="E2" s="24"/>
      <c r="F2" s="24"/>
      <c r="G2" s="24"/>
      <c r="H2" s="24"/>
      <c r="I2" s="83"/>
      <c r="J2" s="24"/>
      <c r="K2" s="24"/>
      <c r="L2" s="24"/>
      <c r="M2" s="24"/>
      <c r="N2" s="24"/>
      <c r="O2" s="24"/>
      <c r="P2" s="24"/>
      <c r="Q2" s="43" t="s">
        <v>529</v>
      </c>
    </row>
    <row r="3" spans="1:18">
      <c r="A3" s="4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8" ht="15">
      <c r="A4" s="27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30"/>
    </row>
    <row r="5" spans="1:18" ht="15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30"/>
    </row>
    <row r="6" spans="1:18" ht="15">
      <c r="A6" s="27" t="s">
        <v>92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30"/>
    </row>
    <row r="7" spans="1:18" ht="15">
      <c r="A7" s="29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30"/>
    </row>
    <row r="8" spans="1:18" ht="15">
      <c r="A8" s="27" t="s">
        <v>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30"/>
    </row>
    <row r="9" spans="1:18" ht="15">
      <c r="A9" s="2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30"/>
    </row>
    <row r="10" spans="1:18" ht="15">
      <c r="A10" s="27" t="s">
        <v>86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30"/>
    </row>
    <row r="11" spans="1:18" ht="1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61"/>
      <c r="P11" s="30"/>
      <c r="Q11" s="30"/>
      <c r="R11" s="30"/>
    </row>
    <row r="12" spans="1:18" ht="15">
      <c r="A12" s="49" t="s">
        <v>25</v>
      </c>
      <c r="B12" s="30"/>
      <c r="C12" s="30" t="str">
        <f>'COVER PAGE'!C7</f>
        <v>SELECT INSTITUTION</v>
      </c>
      <c r="D12" s="30"/>
      <c r="E12" s="48"/>
      <c r="F12" s="30"/>
      <c r="G12" s="30"/>
      <c r="H12" s="30"/>
      <c r="I12" s="30"/>
      <c r="J12" s="30"/>
      <c r="K12" s="30"/>
      <c r="L12" s="30"/>
      <c r="M12" s="30" t="s">
        <v>509</v>
      </c>
      <c r="N12" s="30"/>
      <c r="O12" s="30"/>
      <c r="P12" s="48"/>
      <c r="Q12" s="50" t="str">
        <f>'COVER PAGE'!$F$9</f>
        <v>September</v>
      </c>
      <c r="R12" s="51">
        <f>'COVER PAGE'!$F$10</f>
        <v>45292</v>
      </c>
    </row>
    <row r="14" spans="1:18">
      <c r="C14" s="36" t="s">
        <v>4</v>
      </c>
      <c r="D14" s="36"/>
      <c r="E14" s="24"/>
      <c r="F14" s="36"/>
      <c r="G14" s="36" t="s">
        <v>5</v>
      </c>
      <c r="H14" s="36"/>
      <c r="I14" s="24"/>
      <c r="J14" s="36"/>
      <c r="K14" s="36" t="s">
        <v>6</v>
      </c>
      <c r="L14" s="36"/>
      <c r="M14" s="24"/>
      <c r="N14" s="36"/>
      <c r="O14" s="36" t="s">
        <v>7</v>
      </c>
      <c r="P14" s="36"/>
      <c r="Q14" s="24"/>
    </row>
    <row r="15" spans="1:18">
      <c r="A15" s="25" t="s">
        <v>8</v>
      </c>
      <c r="B15" s="25" t="s">
        <v>9</v>
      </c>
      <c r="C15" s="36" t="s">
        <v>10</v>
      </c>
      <c r="D15" s="36"/>
      <c r="E15" s="24"/>
      <c r="F15" s="36"/>
      <c r="G15" s="36" t="s">
        <v>11</v>
      </c>
      <c r="H15" s="36"/>
      <c r="I15" s="24"/>
      <c r="J15" s="36"/>
      <c r="K15" s="36" t="s">
        <v>11</v>
      </c>
      <c r="L15" s="36"/>
      <c r="M15" s="24"/>
      <c r="N15" s="36"/>
      <c r="O15" s="36" t="s">
        <v>12</v>
      </c>
      <c r="P15" s="36"/>
      <c r="Q15" s="24"/>
    </row>
    <row r="16" spans="1:18">
      <c r="C16" s="36" t="s">
        <v>13</v>
      </c>
      <c r="D16" s="36"/>
      <c r="E16" s="24"/>
      <c r="F16" s="36"/>
      <c r="G16" s="36" t="s">
        <v>14</v>
      </c>
      <c r="H16" s="36"/>
      <c r="I16" s="24"/>
      <c r="J16" s="36"/>
      <c r="K16" s="36" t="s">
        <v>14</v>
      </c>
      <c r="L16" s="36"/>
      <c r="M16" s="24"/>
      <c r="N16" s="36"/>
      <c r="O16" s="36" t="s">
        <v>15</v>
      </c>
      <c r="P16" s="36"/>
      <c r="Q16" s="24"/>
    </row>
    <row r="17" spans="1:17" ht="6.6" customHeight="1"/>
    <row r="18" spans="1:17">
      <c r="C18" s="24" t="s">
        <v>16</v>
      </c>
      <c r="D18" s="24"/>
      <c r="E18" s="24" t="s">
        <v>17</v>
      </c>
      <c r="F18" s="24"/>
      <c r="G18" s="24" t="s">
        <v>16</v>
      </c>
      <c r="H18" s="24"/>
      <c r="I18" s="24" t="s">
        <v>17</v>
      </c>
      <c r="J18" s="24"/>
      <c r="K18" s="24" t="s">
        <v>16</v>
      </c>
      <c r="L18" s="24"/>
      <c r="M18" s="24" t="s">
        <v>17</v>
      </c>
      <c r="N18" s="24"/>
      <c r="O18" s="24" t="s">
        <v>16</v>
      </c>
      <c r="P18" s="24"/>
      <c r="Q18" s="24" t="s">
        <v>17</v>
      </c>
    </row>
    <row r="19" spans="1:17">
      <c r="C19" s="24"/>
      <c r="D19" s="24"/>
      <c r="E19" s="46" t="s">
        <v>38</v>
      </c>
      <c r="F19" s="24"/>
      <c r="H19" s="24"/>
      <c r="I19" s="46" t="s">
        <v>38</v>
      </c>
      <c r="J19" s="24"/>
      <c r="L19" s="24"/>
      <c r="M19" s="46" t="s">
        <v>38</v>
      </c>
      <c r="N19" s="24"/>
      <c r="P19" s="24"/>
      <c r="Q19" s="46" t="s">
        <v>38</v>
      </c>
    </row>
    <row r="20" spans="1:17" ht="6" customHeight="1"/>
    <row r="21" spans="1:17">
      <c r="A21" s="8" t="s">
        <v>18</v>
      </c>
      <c r="B21" s="39" t="s">
        <v>19</v>
      </c>
      <c r="C21" s="22">
        <f>C22+C23</f>
        <v>0</v>
      </c>
      <c r="E21" s="22">
        <f>E22+E23</f>
        <v>0</v>
      </c>
      <c r="G21" s="22">
        <f>G22+G23</f>
        <v>0</v>
      </c>
      <c r="I21" s="22">
        <f>I22+I23</f>
        <v>0</v>
      </c>
      <c r="K21" s="22">
        <f>K22+K23</f>
        <v>0</v>
      </c>
      <c r="M21" s="22">
        <f>M22+M23</f>
        <v>0</v>
      </c>
      <c r="O21" s="22">
        <f>O22+O23</f>
        <v>0</v>
      </c>
      <c r="Q21" s="22">
        <f>Q22+Q23</f>
        <v>0</v>
      </c>
    </row>
    <row r="22" spans="1:17">
      <c r="B22" s="8" t="s">
        <v>93</v>
      </c>
      <c r="C22" s="113"/>
      <c r="E22" s="113"/>
      <c r="G22" s="113"/>
      <c r="I22" s="113"/>
      <c r="K22" s="113"/>
      <c r="M22" s="113"/>
      <c r="O22" s="113"/>
      <c r="Q22" s="113"/>
    </row>
    <row r="23" spans="1:17">
      <c r="B23" s="8" t="s">
        <v>94</v>
      </c>
      <c r="C23" s="113"/>
      <c r="E23" s="113"/>
      <c r="G23" s="113"/>
      <c r="I23" s="113"/>
      <c r="K23" s="113"/>
      <c r="M23" s="113"/>
      <c r="O23" s="113"/>
      <c r="Q23" s="113"/>
    </row>
    <row r="24" spans="1:17" ht="8.85" customHeight="1"/>
    <row r="25" spans="1:17">
      <c r="A25" s="8" t="s">
        <v>23</v>
      </c>
      <c r="B25" s="39" t="s">
        <v>24</v>
      </c>
    </row>
    <row r="26" spans="1:17">
      <c r="B26" s="39" t="s">
        <v>25</v>
      </c>
      <c r="C26" s="22">
        <f>C27+C28</f>
        <v>0</v>
      </c>
      <c r="E26" s="22">
        <f>E27+E28</f>
        <v>0</v>
      </c>
      <c r="G26" s="22">
        <f>G27+G28</f>
        <v>0</v>
      </c>
      <c r="I26" s="22">
        <f>I27+I28</f>
        <v>0</v>
      </c>
      <c r="K26" s="22">
        <f>K27+K28</f>
        <v>0</v>
      </c>
      <c r="M26" s="22">
        <f>M27+M28</f>
        <v>0</v>
      </c>
      <c r="O26" s="22">
        <f>O27+O28</f>
        <v>0</v>
      </c>
      <c r="Q26" s="22">
        <f>Q27+Q28</f>
        <v>0</v>
      </c>
    </row>
    <row r="27" spans="1:17">
      <c r="B27" s="8" t="s">
        <v>93</v>
      </c>
      <c r="C27" s="113"/>
      <c r="E27" s="113"/>
      <c r="G27" s="113"/>
      <c r="I27" s="113"/>
      <c r="K27" s="113"/>
      <c r="M27" s="113"/>
      <c r="O27" s="113"/>
      <c r="Q27" s="113"/>
    </row>
    <row r="28" spans="1:17">
      <c r="B28" s="8" t="s">
        <v>94</v>
      </c>
      <c r="C28" s="113"/>
      <c r="E28" s="113"/>
      <c r="G28" s="113"/>
      <c r="I28" s="113"/>
      <c r="K28" s="113"/>
      <c r="M28" s="113"/>
      <c r="O28" s="113"/>
      <c r="Q28" s="113"/>
    </row>
    <row r="29" spans="1:17" ht="8.85" customHeight="1"/>
    <row r="30" spans="1:17">
      <c r="A30" s="8" t="s">
        <v>26</v>
      </c>
      <c r="B30" s="39" t="s">
        <v>27</v>
      </c>
    </row>
    <row r="31" spans="1:17">
      <c r="B31" s="39" t="s">
        <v>28</v>
      </c>
      <c r="C31" s="22">
        <f>C32+C33</f>
        <v>0</v>
      </c>
      <c r="E31" s="22">
        <f>E32+E33</f>
        <v>0</v>
      </c>
      <c r="G31" s="22">
        <f>G32+G33</f>
        <v>0</v>
      </c>
      <c r="I31" s="22">
        <f>I32+I33</f>
        <v>0</v>
      </c>
      <c r="K31" s="22">
        <f>K32+K33</f>
        <v>0</v>
      </c>
      <c r="M31" s="22">
        <f>M32+M33</f>
        <v>0</v>
      </c>
      <c r="O31" s="22">
        <f>O32+O33</f>
        <v>0</v>
      </c>
      <c r="Q31" s="22">
        <f>Q32+Q33</f>
        <v>0</v>
      </c>
    </row>
    <row r="32" spans="1:17">
      <c r="B32" s="8" t="s">
        <v>93</v>
      </c>
      <c r="C32" s="113"/>
      <c r="E32" s="113"/>
      <c r="G32" s="113"/>
      <c r="I32" s="113"/>
      <c r="K32" s="113"/>
      <c r="M32" s="113"/>
      <c r="O32" s="113"/>
      <c r="Q32" s="113"/>
    </row>
    <row r="33" spans="1:17">
      <c r="B33" s="8" t="s">
        <v>94</v>
      </c>
      <c r="C33" s="113"/>
      <c r="E33" s="113"/>
      <c r="G33" s="113"/>
      <c r="I33" s="113"/>
      <c r="K33" s="113"/>
      <c r="M33" s="113"/>
      <c r="O33" s="113"/>
      <c r="Q33" s="113"/>
    </row>
    <row r="34" spans="1:17" ht="8.85" customHeight="1"/>
    <row r="35" spans="1:17">
      <c r="A35" s="8" t="s">
        <v>29</v>
      </c>
      <c r="B35" s="39" t="s">
        <v>30</v>
      </c>
    </row>
    <row r="36" spans="1:17">
      <c r="B36" s="39" t="s">
        <v>28</v>
      </c>
      <c r="C36" s="22">
        <f>C37+C38</f>
        <v>0</v>
      </c>
      <c r="E36" s="22">
        <f>E37+E38</f>
        <v>0</v>
      </c>
      <c r="G36" s="22">
        <f>G37+G38</f>
        <v>0</v>
      </c>
      <c r="I36" s="22">
        <f>I37+I38</f>
        <v>0</v>
      </c>
      <c r="K36" s="22">
        <f>K37+K38</f>
        <v>0</v>
      </c>
      <c r="M36" s="22">
        <f>M37+M38</f>
        <v>0</v>
      </c>
      <c r="O36" s="22">
        <f>O37+O38</f>
        <v>0</v>
      </c>
      <c r="Q36" s="22">
        <f>Q37+Q38</f>
        <v>0</v>
      </c>
    </row>
    <row r="37" spans="1:17">
      <c r="B37" s="8" t="s">
        <v>93</v>
      </c>
      <c r="C37" s="113"/>
      <c r="E37" s="113"/>
      <c r="G37" s="113"/>
      <c r="I37" s="113"/>
      <c r="K37" s="113"/>
      <c r="M37" s="113"/>
      <c r="O37" s="113"/>
      <c r="Q37" s="113"/>
    </row>
    <row r="38" spans="1:17">
      <c r="B38" s="8" t="s">
        <v>94</v>
      </c>
      <c r="C38" s="113"/>
      <c r="E38" s="113"/>
      <c r="G38" s="113"/>
      <c r="I38" s="113"/>
      <c r="K38" s="113"/>
      <c r="M38" s="113"/>
      <c r="O38" s="113"/>
      <c r="Q38" s="113"/>
    </row>
    <row r="39" spans="1:17" ht="7.35" customHeight="1"/>
    <row r="40" spans="1:17">
      <c r="A40" s="8" t="s">
        <v>31</v>
      </c>
      <c r="B40" s="39" t="s">
        <v>32</v>
      </c>
      <c r="C40" s="22">
        <f>C41+C42</f>
        <v>0</v>
      </c>
      <c r="E40" s="22">
        <f>E41+E42</f>
        <v>0</v>
      </c>
      <c r="G40" s="22">
        <f>G41+G42</f>
        <v>0</v>
      </c>
      <c r="I40" s="22">
        <f>I41+I42</f>
        <v>0</v>
      </c>
      <c r="K40" s="22">
        <f>K41+K42</f>
        <v>0</v>
      </c>
      <c r="M40" s="22">
        <f>M41+M42</f>
        <v>0</v>
      </c>
      <c r="O40" s="22">
        <f>O41+O42</f>
        <v>0</v>
      </c>
      <c r="Q40" s="22">
        <f>Q41+Q42</f>
        <v>0</v>
      </c>
    </row>
    <row r="41" spans="1:17">
      <c r="B41" s="8" t="s">
        <v>93</v>
      </c>
      <c r="C41" s="113"/>
      <c r="E41" s="113"/>
      <c r="G41" s="113"/>
      <c r="I41" s="113"/>
      <c r="K41" s="113"/>
      <c r="M41" s="113"/>
      <c r="O41" s="113"/>
      <c r="Q41" s="113"/>
    </row>
    <row r="42" spans="1:17">
      <c r="B42" s="8" t="s">
        <v>94</v>
      </c>
      <c r="C42" s="113"/>
      <c r="E42" s="113"/>
      <c r="G42" s="113"/>
      <c r="I42" s="113"/>
      <c r="K42" s="113"/>
      <c r="M42" s="113"/>
      <c r="O42" s="113"/>
      <c r="Q42" s="113"/>
    </row>
    <row r="43" spans="1:17" ht="7.35" customHeight="1"/>
    <row r="44" spans="1:17">
      <c r="B44" s="25" t="s">
        <v>34</v>
      </c>
      <c r="C44" s="22">
        <f>C40+C36+C31+C26+C21</f>
        <v>0</v>
      </c>
      <c r="E44" s="22">
        <f>E40+E36+E31+E26+E21</f>
        <v>0</v>
      </c>
      <c r="G44" s="22">
        <f>G40+G36+G31+G26+G21</f>
        <v>0</v>
      </c>
      <c r="I44" s="22">
        <f>I40+I36+I31+I26+I21</f>
        <v>0</v>
      </c>
      <c r="K44" s="22">
        <f>K40+K36+K31+K26+K21</f>
        <v>0</v>
      </c>
      <c r="M44" s="22">
        <f>M40+M36+M31+M26+M21</f>
        <v>0</v>
      </c>
      <c r="O44" s="22">
        <f>O40+O36+O31+O26+O21</f>
        <v>0</v>
      </c>
      <c r="Q44" s="22">
        <f>Q40+Q36+Q31+Q26+Q21</f>
        <v>0</v>
      </c>
    </row>
    <row r="45" spans="1:17" ht="8.1" customHeight="1"/>
    <row r="46" spans="1:17">
      <c r="A46" s="25" t="s">
        <v>91</v>
      </c>
      <c r="B46" s="25" t="s">
        <v>37</v>
      </c>
    </row>
    <row r="48" spans="1:17">
      <c r="B48" s="39" t="s">
        <v>521</v>
      </c>
    </row>
    <row r="49" spans="1:17" ht="6.6" customHeight="1"/>
    <row r="50" spans="1:17">
      <c r="A50" s="8" t="s">
        <v>18</v>
      </c>
      <c r="B50" s="8" t="s">
        <v>39</v>
      </c>
      <c r="C50" s="113"/>
      <c r="E50" s="113"/>
      <c r="G50" s="113"/>
      <c r="I50" s="113"/>
      <c r="K50" s="113"/>
      <c r="M50" s="113"/>
      <c r="O50" s="113"/>
      <c r="Q50" s="113"/>
    </row>
    <row r="51" spans="1:17" ht="8.1" customHeight="1"/>
    <row r="52" spans="1:17">
      <c r="A52" s="8" t="s">
        <v>23</v>
      </c>
      <c r="B52" s="8" t="s">
        <v>40</v>
      </c>
    </row>
    <row r="53" spans="1:17">
      <c r="B53" s="8" t="s">
        <v>41</v>
      </c>
      <c r="C53" s="113"/>
      <c r="E53" s="113"/>
      <c r="G53" s="113"/>
      <c r="I53" s="113"/>
      <c r="K53" s="113"/>
      <c r="M53" s="113"/>
      <c r="O53" s="113"/>
      <c r="Q53" s="113"/>
    </row>
    <row r="54" spans="1:17" ht="6.6" customHeight="1"/>
    <row r="55" spans="1:17">
      <c r="A55" s="8" t="s">
        <v>26</v>
      </c>
      <c r="B55" s="8" t="s">
        <v>42</v>
      </c>
    </row>
    <row r="56" spans="1:17">
      <c r="B56" s="8" t="s">
        <v>43</v>
      </c>
      <c r="C56" s="113"/>
      <c r="E56" s="113"/>
      <c r="G56" s="113"/>
      <c r="I56" s="113"/>
      <c r="K56" s="113"/>
      <c r="M56" s="113"/>
      <c r="O56" s="113"/>
      <c r="Q56" s="113"/>
    </row>
    <row r="57" spans="1:17" ht="6" customHeight="1"/>
    <row r="58" spans="1:17">
      <c r="A58" s="8" t="s">
        <v>29</v>
      </c>
      <c r="B58" s="8" t="s">
        <v>46</v>
      </c>
      <c r="C58" s="113"/>
      <c r="E58" s="113"/>
      <c r="G58" s="113"/>
      <c r="I58" s="113"/>
      <c r="K58" s="113"/>
      <c r="M58" s="113"/>
      <c r="O58" s="113"/>
      <c r="Q58" s="113"/>
    </row>
    <row r="60" spans="1:17">
      <c r="B60" s="25" t="s">
        <v>34</v>
      </c>
      <c r="C60" s="22">
        <f>C50+C53+C56+C58</f>
        <v>0</v>
      </c>
      <c r="E60" s="22">
        <f>E50+E53+E56+E58</f>
        <v>0</v>
      </c>
      <c r="G60" s="22">
        <f>G50+G53+G56+G58</f>
        <v>0</v>
      </c>
      <c r="I60" s="22">
        <f>I50+I53+I56+I58</f>
        <v>0</v>
      </c>
      <c r="K60" s="22">
        <f>K50+K53+K56+K58</f>
        <v>0</v>
      </c>
      <c r="M60" s="22">
        <f>M50+M53+M56+M58</f>
        <v>0</v>
      </c>
      <c r="O60" s="22">
        <f>O50+O53+O56+O58</f>
        <v>0</v>
      </c>
      <c r="P60" s="13"/>
      <c r="Q60" s="22">
        <f>Q50+Q53+Q56+Q58</f>
        <v>0</v>
      </c>
    </row>
    <row r="62" spans="1:17">
      <c r="A62" s="25" t="s">
        <v>49</v>
      </c>
      <c r="B62" s="25" t="s">
        <v>50</v>
      </c>
    </row>
    <row r="64" spans="1:17">
      <c r="A64" s="8" t="s">
        <v>18</v>
      </c>
      <c r="B64" s="8" t="s">
        <v>519</v>
      </c>
      <c r="C64" s="113">
        <v>0</v>
      </c>
    </row>
    <row r="66" spans="1:3">
      <c r="A66" s="8" t="s">
        <v>23</v>
      </c>
      <c r="B66" s="8" t="s">
        <v>520</v>
      </c>
      <c r="C66" s="113">
        <v>0</v>
      </c>
    </row>
  </sheetData>
  <sheetProtection algorithmName="SHA-512" hashValue="6fZlQ++4Tp1eFQIQkQKvfk74DYrVIQr0rBWpMzlNdqDcKIKrNX/kZZE7HDp7wgjA7o9aJl4unSdZ/Dduud3b8w==" saltValue="ZWGGjfnfB6Hu1YROKcZW5A==" spinCount="100000" sheet="1" selectLockedCells="1"/>
  <pageMargins left="0.7" right="0.7" top="0.75" bottom="0.75" header="0.3" footer="0.3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T55"/>
  <sheetViews>
    <sheetView showGridLines="0" topLeftCell="A22" zoomScaleNormal="100" workbookViewId="0">
      <selection activeCell="F45" sqref="F45"/>
    </sheetView>
  </sheetViews>
  <sheetFormatPr defaultColWidth="8.5703125" defaultRowHeight="12.75"/>
  <cols>
    <col min="1" max="1" width="2.5703125" style="125" customWidth="1"/>
    <col min="2" max="2" width="18.42578125" style="125" customWidth="1"/>
    <col min="3" max="4" width="5.5703125" style="125" customWidth="1"/>
    <col min="5" max="5" width="1.5703125" style="125" customWidth="1"/>
    <col min="6" max="6" width="11.42578125" style="125" customWidth="1"/>
    <col min="7" max="7" width="1.5703125" style="125" customWidth="1"/>
    <col min="8" max="8" width="5.5703125" style="125" customWidth="1"/>
    <col min="9" max="9" width="1.5703125" style="125" customWidth="1"/>
    <col min="10" max="10" width="11.42578125" style="125" customWidth="1"/>
    <col min="11" max="11" width="1.5703125" style="125" customWidth="1"/>
    <col min="12" max="12" width="5.5703125" style="125" customWidth="1"/>
    <col min="13" max="13" width="1.5703125" style="125" customWidth="1"/>
    <col min="14" max="14" width="11.42578125" style="125" customWidth="1"/>
    <col min="15" max="15" width="1.5703125" style="125" customWidth="1"/>
    <col min="16" max="16" width="11.42578125" style="125" bestFit="1" customWidth="1"/>
    <col min="17" max="17" width="5" style="125" bestFit="1" customWidth="1"/>
    <col min="18" max="18" width="11.42578125" style="125" customWidth="1"/>
    <col min="19" max="16384" width="8.5703125" style="125"/>
  </cols>
  <sheetData>
    <row r="1" spans="2:18" ht="3.6" customHeight="1">
      <c r="B1" s="150"/>
    </row>
    <row r="2" spans="2:18">
      <c r="B2" s="150"/>
      <c r="C2" s="150"/>
      <c r="D2" s="150"/>
      <c r="E2" s="150"/>
      <c r="F2" s="150"/>
      <c r="G2" s="150"/>
      <c r="H2" s="150"/>
      <c r="I2" s="150"/>
      <c r="J2" s="151"/>
      <c r="K2" s="150"/>
      <c r="L2" s="150"/>
      <c r="M2" s="150"/>
      <c r="N2" s="150"/>
      <c r="O2" s="150"/>
      <c r="P2" s="150"/>
      <c r="Q2" s="150"/>
      <c r="R2" s="131" t="s">
        <v>530</v>
      </c>
    </row>
    <row r="3" spans="2:18" ht="5.85" customHeight="1"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</row>
    <row r="4" spans="2:18" ht="15">
      <c r="B4" s="153" t="s">
        <v>0</v>
      </c>
      <c r="C4" s="153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</row>
    <row r="5" spans="2:18" ht="15">
      <c r="B5" s="153"/>
      <c r="C5" s="153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</row>
    <row r="6" spans="2:18" ht="15">
      <c r="B6" s="153" t="s">
        <v>541</v>
      </c>
      <c r="C6" s="153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</row>
    <row r="7" spans="2:18" ht="15">
      <c r="B7" s="154"/>
      <c r="C7" s="154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</row>
    <row r="8" spans="2:18" ht="15">
      <c r="B8" s="155"/>
      <c r="C8" s="153"/>
      <c r="D8" s="156"/>
      <c r="E8" s="152"/>
      <c r="F8" s="152" t="s">
        <v>95</v>
      </c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</row>
    <row r="9" spans="2:18" ht="15">
      <c r="B9" s="154"/>
      <c r="C9" s="154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</row>
    <row r="10" spans="2:18" ht="15">
      <c r="B10" s="153" t="s">
        <v>86</v>
      </c>
      <c r="C10" s="153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</row>
    <row r="11" spans="2:18" ht="15"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</row>
    <row r="12" spans="2:18" ht="15">
      <c r="B12" s="157" t="s">
        <v>25</v>
      </c>
      <c r="C12" s="156" t="str">
        <f>'COVER PAGE'!C7</f>
        <v>SELECT INSTITUTION</v>
      </c>
      <c r="D12" s="156"/>
      <c r="E12" s="156"/>
      <c r="F12" s="156"/>
      <c r="G12" s="156"/>
      <c r="H12" s="156"/>
      <c r="I12" s="156"/>
      <c r="J12" s="156"/>
      <c r="K12" s="156"/>
      <c r="L12" s="156" t="s">
        <v>510</v>
      </c>
      <c r="M12" s="156"/>
      <c r="N12" s="156"/>
      <c r="O12" s="158"/>
      <c r="P12" s="159" t="str">
        <f>'COVER PAGE'!$F$9</f>
        <v>September</v>
      </c>
      <c r="Q12" s="160">
        <f>'COVER PAGE'!$F$10</f>
        <v>45292</v>
      </c>
      <c r="R12" s="156"/>
    </row>
    <row r="14" spans="2:18">
      <c r="D14" s="161" t="s">
        <v>4</v>
      </c>
      <c r="E14" s="161"/>
      <c r="F14" s="150"/>
      <c r="G14" s="161"/>
      <c r="H14" s="161" t="s">
        <v>96</v>
      </c>
      <c r="I14" s="161"/>
      <c r="J14" s="150"/>
      <c r="K14" s="161"/>
      <c r="L14" s="161" t="s">
        <v>60</v>
      </c>
      <c r="M14" s="161"/>
      <c r="N14" s="150"/>
      <c r="O14" s="161"/>
      <c r="P14" s="161" t="s">
        <v>7</v>
      </c>
      <c r="Q14" s="161"/>
      <c r="R14" s="150"/>
    </row>
    <row r="15" spans="2:18">
      <c r="B15" s="161" t="s">
        <v>37</v>
      </c>
      <c r="D15" s="161" t="s">
        <v>10</v>
      </c>
      <c r="E15" s="161"/>
      <c r="F15" s="150"/>
      <c r="G15" s="161"/>
      <c r="H15" s="161" t="s">
        <v>97</v>
      </c>
      <c r="I15" s="161"/>
      <c r="J15" s="150"/>
      <c r="K15" s="161"/>
      <c r="L15" s="161" t="s">
        <v>98</v>
      </c>
      <c r="M15" s="161"/>
      <c r="N15" s="150"/>
      <c r="O15" s="161"/>
      <c r="P15" s="161" t="s">
        <v>12</v>
      </c>
      <c r="Q15" s="161"/>
      <c r="R15" s="150"/>
    </row>
    <row r="16" spans="2:18">
      <c r="D16" s="161" t="s">
        <v>13</v>
      </c>
      <c r="E16" s="161"/>
      <c r="F16" s="150"/>
      <c r="G16" s="161"/>
      <c r="H16" s="161" t="s">
        <v>99</v>
      </c>
      <c r="I16" s="161"/>
      <c r="J16" s="150"/>
      <c r="K16" s="161"/>
      <c r="L16" s="161" t="s">
        <v>14</v>
      </c>
      <c r="M16" s="161"/>
      <c r="N16" s="150"/>
      <c r="O16" s="161"/>
      <c r="P16" s="161" t="s">
        <v>15</v>
      </c>
      <c r="Q16" s="161"/>
      <c r="R16" s="150"/>
    </row>
    <row r="17" spans="2:20">
      <c r="H17" s="161" t="s">
        <v>14</v>
      </c>
      <c r="I17" s="150"/>
      <c r="J17" s="161"/>
      <c r="P17" s="213" t="s">
        <v>100</v>
      </c>
      <c r="Q17" s="213"/>
      <c r="R17" s="213"/>
      <c r="S17" s="140"/>
      <c r="T17" s="140"/>
    </row>
    <row r="18" spans="2:20">
      <c r="D18" s="162" t="s">
        <v>61</v>
      </c>
      <c r="E18" s="162"/>
      <c r="F18" s="161"/>
      <c r="G18" s="162"/>
      <c r="H18" s="162" t="s">
        <v>62</v>
      </c>
      <c r="I18" s="162"/>
      <c r="J18" s="161"/>
      <c r="K18" s="162"/>
      <c r="L18" s="162" t="s">
        <v>63</v>
      </c>
      <c r="M18" s="162"/>
      <c r="N18" s="161"/>
      <c r="O18" s="162"/>
      <c r="P18" s="162" t="s">
        <v>64</v>
      </c>
      <c r="Q18" s="162"/>
      <c r="R18" s="161"/>
    </row>
    <row r="19" spans="2:20">
      <c r="H19" s="161"/>
      <c r="J19" s="161"/>
      <c r="P19" s="161"/>
      <c r="R19" s="161"/>
    </row>
    <row r="20" spans="2:20">
      <c r="D20" s="150" t="s">
        <v>101</v>
      </c>
      <c r="E20" s="150"/>
      <c r="F20" s="150" t="s">
        <v>17</v>
      </c>
      <c r="G20" s="150"/>
      <c r="H20" s="150" t="s">
        <v>101</v>
      </c>
      <c r="I20" s="150"/>
      <c r="J20" s="150" t="s">
        <v>17</v>
      </c>
      <c r="K20" s="150"/>
      <c r="L20" s="150" t="s">
        <v>101</v>
      </c>
      <c r="M20" s="150"/>
      <c r="N20" s="150" t="s">
        <v>17</v>
      </c>
      <c r="O20" s="150"/>
      <c r="P20" s="150" t="s">
        <v>101</v>
      </c>
      <c r="Q20" s="150"/>
      <c r="R20" s="150" t="s">
        <v>17</v>
      </c>
    </row>
    <row r="21" spans="2:20">
      <c r="D21" s="150"/>
      <c r="E21" s="150"/>
      <c r="F21" s="163" t="s">
        <v>38</v>
      </c>
      <c r="G21" s="150"/>
      <c r="I21" s="150"/>
      <c r="J21" s="163" t="s">
        <v>38</v>
      </c>
      <c r="K21" s="150"/>
      <c r="M21" s="150"/>
      <c r="N21" s="163" t="s">
        <v>38</v>
      </c>
      <c r="O21" s="150"/>
      <c r="Q21" s="150"/>
      <c r="R21" s="163" t="s">
        <v>38</v>
      </c>
    </row>
    <row r="23" spans="2:20">
      <c r="B23" s="125" t="s">
        <v>102</v>
      </c>
      <c r="C23" s="125" t="s">
        <v>103</v>
      </c>
      <c r="D23" s="113"/>
      <c r="F23" s="113"/>
      <c r="H23" s="113"/>
      <c r="J23" s="113"/>
      <c r="L23" s="113"/>
      <c r="N23" s="113"/>
      <c r="P23" s="113"/>
      <c r="R23" s="113"/>
    </row>
    <row r="24" spans="2:20">
      <c r="C24" s="125" t="s">
        <v>104</v>
      </c>
      <c r="D24" s="113"/>
      <c r="F24" s="113"/>
      <c r="H24" s="113"/>
      <c r="J24" s="113"/>
      <c r="L24" s="113"/>
      <c r="N24" s="113"/>
      <c r="P24" s="113"/>
      <c r="R24" s="113"/>
    </row>
    <row r="25" spans="2:20">
      <c r="C25" s="165"/>
    </row>
    <row r="26" spans="2:20">
      <c r="B26" s="125" t="s">
        <v>105</v>
      </c>
      <c r="C26" s="125" t="s">
        <v>103</v>
      </c>
      <c r="D26" s="113"/>
      <c r="F26" s="113"/>
      <c r="H26" s="113"/>
      <c r="J26" s="113"/>
      <c r="L26" s="113"/>
      <c r="N26" s="113"/>
      <c r="P26" s="113"/>
      <c r="R26" s="113"/>
    </row>
    <row r="27" spans="2:20">
      <c r="C27" s="125" t="s">
        <v>104</v>
      </c>
      <c r="D27" s="113"/>
      <c r="F27" s="113"/>
      <c r="H27" s="113"/>
      <c r="J27" s="113"/>
      <c r="L27" s="113"/>
      <c r="N27" s="113"/>
      <c r="P27" s="113"/>
      <c r="R27" s="113"/>
    </row>
    <row r="28" spans="2:20" ht="8.85" customHeight="1">
      <c r="C28" s="165"/>
    </row>
    <row r="29" spans="2:20">
      <c r="B29" s="125" t="s">
        <v>106</v>
      </c>
      <c r="C29" s="165"/>
    </row>
    <row r="30" spans="2:20">
      <c r="B30" s="125" t="s">
        <v>107</v>
      </c>
      <c r="C30" s="125" t="s">
        <v>103</v>
      </c>
      <c r="D30" s="113"/>
      <c r="F30" s="113"/>
      <c r="H30" s="113"/>
      <c r="J30" s="113"/>
      <c r="L30" s="113"/>
      <c r="N30" s="113"/>
      <c r="P30" s="113"/>
      <c r="R30" s="113"/>
    </row>
    <row r="31" spans="2:20">
      <c r="B31" s="125" t="s">
        <v>108</v>
      </c>
      <c r="C31" s="125" t="s">
        <v>104</v>
      </c>
      <c r="D31" s="113"/>
      <c r="F31" s="113"/>
      <c r="H31" s="113"/>
      <c r="J31" s="113"/>
      <c r="L31" s="113"/>
      <c r="N31" s="113"/>
      <c r="P31" s="113"/>
      <c r="R31" s="113"/>
    </row>
    <row r="32" spans="2:20" ht="8.1" customHeight="1">
      <c r="C32" s="165"/>
    </row>
    <row r="33" spans="1:18">
      <c r="B33" s="125" t="s">
        <v>109</v>
      </c>
      <c r="C33" s="165"/>
    </row>
    <row r="34" spans="1:18">
      <c r="B34" s="125" t="s">
        <v>110</v>
      </c>
      <c r="C34" s="125" t="s">
        <v>103</v>
      </c>
      <c r="D34" s="113"/>
      <c r="F34" s="113"/>
      <c r="H34" s="113"/>
      <c r="J34" s="113"/>
      <c r="L34" s="113"/>
      <c r="N34" s="113"/>
      <c r="P34" s="113"/>
      <c r="R34" s="113"/>
    </row>
    <row r="35" spans="1:18">
      <c r="B35" s="125" t="s">
        <v>111</v>
      </c>
      <c r="C35" s="125" t="s">
        <v>104</v>
      </c>
      <c r="D35" s="113"/>
      <c r="F35" s="113"/>
      <c r="H35" s="113"/>
      <c r="J35" s="113"/>
      <c r="L35" s="113"/>
      <c r="N35" s="113"/>
      <c r="P35" s="113"/>
      <c r="R35" s="113"/>
    </row>
    <row r="36" spans="1:18" ht="9.6" customHeight="1"/>
    <row r="37" spans="1:18">
      <c r="B37" s="125" t="s">
        <v>112</v>
      </c>
      <c r="C37" s="125" t="s">
        <v>103</v>
      </c>
      <c r="D37" s="113"/>
      <c r="F37" s="113"/>
      <c r="H37" s="113"/>
      <c r="J37" s="113"/>
      <c r="L37" s="113"/>
      <c r="N37" s="113"/>
      <c r="P37" s="113"/>
      <c r="R37" s="113"/>
    </row>
    <row r="38" spans="1:18">
      <c r="B38" s="125" t="s">
        <v>113</v>
      </c>
      <c r="C38" s="125" t="s">
        <v>104</v>
      </c>
      <c r="D38" s="113"/>
      <c r="F38" s="113"/>
      <c r="H38" s="113"/>
      <c r="J38" s="113"/>
      <c r="L38" s="113"/>
      <c r="N38" s="113"/>
      <c r="P38" s="113"/>
      <c r="R38" s="113"/>
    </row>
    <row r="39" spans="1:18" ht="8.1" customHeight="1"/>
    <row r="40" spans="1:18">
      <c r="B40" s="125" t="s">
        <v>556</v>
      </c>
    </row>
    <row r="41" spans="1:18">
      <c r="B41" s="125" t="s">
        <v>557</v>
      </c>
      <c r="D41" s="113"/>
      <c r="F41" s="113"/>
      <c r="H41" s="113"/>
      <c r="J41" s="113"/>
      <c r="L41" s="113"/>
      <c r="N41" s="113"/>
      <c r="P41" s="113"/>
      <c r="R41" s="113"/>
    </row>
    <row r="43" spans="1:18" ht="25.5" customHeight="1">
      <c r="A43" s="124" t="s">
        <v>114</v>
      </c>
      <c r="B43" s="171" t="s">
        <v>115</v>
      </c>
      <c r="D43" s="113"/>
      <c r="F43" s="113"/>
      <c r="H43" s="113"/>
      <c r="J43" s="113"/>
      <c r="L43" s="113"/>
      <c r="N43" s="113"/>
      <c r="P43" s="113"/>
      <c r="R43" s="113"/>
    </row>
    <row r="44" spans="1:18">
      <c r="A44" s="124"/>
      <c r="B44" s="124"/>
    </row>
    <row r="45" spans="1:18" ht="25.5" customHeight="1">
      <c r="A45" s="124" t="s">
        <v>116</v>
      </c>
      <c r="B45" s="171" t="s">
        <v>117</v>
      </c>
      <c r="D45" s="113"/>
      <c r="F45" s="113"/>
      <c r="H45" s="113"/>
      <c r="J45" s="113"/>
      <c r="L45" s="113"/>
      <c r="N45" s="113"/>
      <c r="P45" s="113"/>
      <c r="R45" s="113"/>
    </row>
    <row r="46" spans="1:18">
      <c r="A46" s="124"/>
      <c r="B46" s="124"/>
    </row>
    <row r="47" spans="1:18" ht="38.25" customHeight="1">
      <c r="A47" s="124" t="s">
        <v>118</v>
      </c>
      <c r="B47" s="171" t="s">
        <v>119</v>
      </c>
      <c r="D47" s="113"/>
      <c r="F47" s="113"/>
      <c r="H47" s="113"/>
      <c r="J47" s="113"/>
      <c r="L47" s="113"/>
      <c r="N47" s="113"/>
      <c r="P47" s="113"/>
      <c r="R47" s="113"/>
    </row>
    <row r="48" spans="1:18" ht="11.25" customHeight="1"/>
    <row r="49" spans="1:18" ht="38.25" customHeight="1">
      <c r="A49" s="166" t="s">
        <v>120</v>
      </c>
      <c r="B49" s="115"/>
      <c r="D49" s="113"/>
      <c r="F49" s="113"/>
      <c r="H49" s="113"/>
      <c r="J49" s="113"/>
      <c r="L49" s="113"/>
      <c r="N49" s="113"/>
      <c r="P49" s="113"/>
      <c r="R49" s="113"/>
    </row>
    <row r="50" spans="1:18" ht="11.25" customHeight="1">
      <c r="B50" s="167"/>
    </row>
    <row r="51" spans="1:18" ht="38.25" customHeight="1">
      <c r="A51" s="166" t="s">
        <v>121</v>
      </c>
      <c r="B51" s="115"/>
      <c r="D51" s="113"/>
      <c r="F51" s="113"/>
      <c r="H51" s="113"/>
      <c r="J51" s="113"/>
      <c r="L51" s="113"/>
      <c r="N51" s="113"/>
      <c r="P51" s="113"/>
      <c r="R51" s="113"/>
    </row>
    <row r="52" spans="1:18" ht="11.25" customHeight="1"/>
    <row r="53" spans="1:18">
      <c r="B53" s="168" t="s">
        <v>34</v>
      </c>
      <c r="C53" s="168"/>
      <c r="D53" s="164">
        <f>D23+D24+D26+D27+D30+D31+D34+D35+D37+D38+D41</f>
        <v>0</v>
      </c>
      <c r="F53" s="164">
        <f>F23+F24+F26+F27+F30+F31+F34+F35+F37+F38+F41</f>
        <v>0</v>
      </c>
      <c r="H53" s="164">
        <f>H23+H24+H26+H27+H30+H31+H34+H35+H37+H38+H41</f>
        <v>0</v>
      </c>
      <c r="J53" s="164">
        <f>J23+J24+J26+J27+J30+J31+J34+J35+J37+J38+J41</f>
        <v>0</v>
      </c>
      <c r="L53" s="164">
        <f>L23+L24+L26+L27+L30+L31+L34+L35+L37+L38+L41</f>
        <v>0</v>
      </c>
      <c r="N53" s="164">
        <f>N23+N24+N26+N27+N30+N31+N34+N35+N37+N38+N41</f>
        <v>0</v>
      </c>
      <c r="P53" s="164">
        <f>P23+P24+P26+P27+P30+P31+P34+P35+P37+P38+P41</f>
        <v>0</v>
      </c>
      <c r="R53" s="164">
        <f>R23+R24+R26+R27+R30+R31+R34+R35+R37+R38+R41</f>
        <v>0</v>
      </c>
    </row>
    <row r="55" spans="1:18">
      <c r="B55" s="125" t="s">
        <v>122</v>
      </c>
    </row>
  </sheetData>
  <sheetProtection algorithmName="SHA-512" hashValue="RrJLP67iuMyC9RDN20EQyUscP6VcxhOw5mHmMvjee177TlRj72A0Msw43tulUyM7i5N+iLnQd+Ia3hmV8IHipQ==" saltValue="ZuPZnPUYbqV/ewVbrZlncA==" spinCount="100000" sheet="1" selectLockedCells="1"/>
  <mergeCells count="1">
    <mergeCell ref="P17:R17"/>
  </mergeCells>
  <pageMargins left="0.7" right="0.7" top="0.75" bottom="0.75" header="0.3" footer="0.3"/>
  <pageSetup scale="74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2:O62"/>
  <sheetViews>
    <sheetView showGridLines="0" zoomScaleNormal="100" workbookViewId="0">
      <selection activeCell="H44" sqref="H44"/>
    </sheetView>
  </sheetViews>
  <sheetFormatPr defaultColWidth="8.5703125" defaultRowHeight="12.75"/>
  <cols>
    <col min="1" max="1" width="3.42578125" style="8" customWidth="1"/>
    <col min="2" max="2" width="16.5703125" style="8" customWidth="1"/>
    <col min="3" max="3" width="10.5703125" style="62" customWidth="1"/>
    <col min="4" max="4" width="4.5703125" style="8" customWidth="1"/>
    <col min="5" max="5" width="4.42578125" style="8" customWidth="1"/>
    <col min="6" max="6" width="5.5703125" style="8" customWidth="1"/>
    <col min="7" max="7" width="1.5703125" style="8" customWidth="1"/>
    <col min="8" max="8" width="11.42578125" style="8" customWidth="1"/>
    <col min="9" max="9" width="2.5703125" style="8" customWidth="1"/>
    <col min="10" max="10" width="7.5703125" style="8" customWidth="1"/>
    <col min="11" max="11" width="6" style="8" customWidth="1"/>
    <col min="12" max="12" width="13" style="8" customWidth="1"/>
    <col min="13" max="16384" width="8.5703125" style="8"/>
  </cols>
  <sheetData>
    <row r="2" spans="1:13">
      <c r="C2" s="8"/>
      <c r="E2" s="14"/>
      <c r="L2" s="8" t="s">
        <v>531</v>
      </c>
    </row>
    <row r="3" spans="1:13" ht="15">
      <c r="A3" s="28"/>
      <c r="B3" s="28"/>
      <c r="C3" s="65"/>
      <c r="D3" s="28"/>
      <c r="E3" s="28"/>
      <c r="F3" s="28"/>
      <c r="G3" s="28"/>
      <c r="H3" s="28"/>
      <c r="I3" s="28"/>
      <c r="J3" s="28"/>
      <c r="K3" s="28"/>
      <c r="L3" s="28"/>
      <c r="M3" s="30"/>
    </row>
    <row r="4" spans="1:13" ht="15">
      <c r="A4" s="27" t="s">
        <v>0</v>
      </c>
      <c r="B4" s="28"/>
      <c r="C4" s="65"/>
      <c r="D4" s="28"/>
      <c r="E4" s="28"/>
      <c r="F4" s="28"/>
      <c r="G4" s="28"/>
      <c r="H4" s="28"/>
      <c r="I4" s="28"/>
      <c r="J4" s="28"/>
      <c r="K4" s="28"/>
      <c r="L4" s="28"/>
      <c r="M4" s="30"/>
    </row>
    <row r="5" spans="1:13" ht="15">
      <c r="A5" s="27" t="s">
        <v>123</v>
      </c>
      <c r="B5" s="28"/>
      <c r="C5" s="65"/>
      <c r="D5" s="28"/>
      <c r="E5" s="28"/>
      <c r="F5" s="28"/>
      <c r="G5" s="28"/>
      <c r="H5" s="28"/>
      <c r="I5" s="28"/>
      <c r="J5" s="28"/>
      <c r="K5" s="28"/>
      <c r="L5" s="28"/>
      <c r="M5" s="30"/>
    </row>
    <row r="6" spans="1:13" ht="15">
      <c r="A6" s="27" t="s">
        <v>124</v>
      </c>
      <c r="B6" s="28"/>
      <c r="C6" s="65"/>
      <c r="D6" s="28"/>
      <c r="E6" s="28"/>
      <c r="F6" s="28"/>
      <c r="G6" s="28"/>
      <c r="H6" s="28"/>
      <c r="I6" s="28"/>
      <c r="J6" s="28"/>
      <c r="K6" s="28"/>
      <c r="L6" s="28"/>
      <c r="M6" s="30"/>
    </row>
    <row r="7" spans="1:13" ht="15">
      <c r="A7" s="29"/>
      <c r="B7" s="28"/>
      <c r="C7" s="65"/>
      <c r="D7" s="28"/>
      <c r="E7" s="28"/>
      <c r="F7" s="28"/>
      <c r="G7" s="28"/>
      <c r="H7" s="28"/>
      <c r="I7" s="28"/>
      <c r="J7" s="28"/>
      <c r="K7" s="28"/>
      <c r="L7" s="28"/>
      <c r="M7" s="30"/>
    </row>
    <row r="8" spans="1:13" ht="15">
      <c r="A8" s="27"/>
      <c r="B8" s="28"/>
      <c r="C8" s="65"/>
      <c r="D8" s="28"/>
      <c r="E8" s="28"/>
      <c r="F8" s="28"/>
      <c r="G8" s="28"/>
      <c r="H8" s="28"/>
      <c r="I8" s="28"/>
      <c r="J8" s="28"/>
      <c r="K8" s="28"/>
      <c r="L8" s="28"/>
      <c r="M8" s="30"/>
    </row>
    <row r="9" spans="1:13" ht="15">
      <c r="A9" s="29"/>
      <c r="B9" s="28"/>
      <c r="C9" s="65"/>
      <c r="D9" s="28"/>
      <c r="E9" s="28"/>
      <c r="F9" s="28"/>
      <c r="G9" s="28"/>
      <c r="H9" s="28"/>
      <c r="I9" s="28"/>
      <c r="J9" s="28"/>
      <c r="K9" s="28"/>
      <c r="L9" s="28"/>
      <c r="M9" s="30"/>
    </row>
    <row r="10" spans="1:13" ht="15">
      <c r="A10" s="27"/>
      <c r="B10" s="28"/>
      <c r="C10" s="65"/>
      <c r="D10" s="28"/>
      <c r="E10" s="28"/>
      <c r="F10" s="28"/>
      <c r="G10" s="28"/>
      <c r="H10" s="28"/>
      <c r="I10" s="28"/>
      <c r="J10" s="28"/>
      <c r="K10" s="28"/>
      <c r="L10" s="28"/>
      <c r="M10" s="30"/>
    </row>
    <row r="11" spans="1:13" ht="15">
      <c r="A11" s="28"/>
      <c r="B11" s="28"/>
      <c r="C11" s="65"/>
      <c r="D11" s="28"/>
      <c r="E11" s="28"/>
      <c r="F11" s="28"/>
      <c r="G11" s="28"/>
      <c r="H11" s="28"/>
      <c r="I11" s="28"/>
      <c r="J11" s="28"/>
      <c r="K11" s="28"/>
      <c r="L11" s="28"/>
      <c r="M11" s="30"/>
    </row>
    <row r="12" spans="1:13" ht="15">
      <c r="A12" s="66" t="s">
        <v>25</v>
      </c>
      <c r="B12" s="48"/>
      <c r="C12" s="67" t="str">
        <f>'COVER PAGE'!C7</f>
        <v>SELECT INSTITUTION</v>
      </c>
      <c r="D12" s="28"/>
      <c r="E12" s="28"/>
      <c r="F12" s="28"/>
      <c r="G12" s="28"/>
      <c r="H12" s="30"/>
      <c r="I12" s="48" t="s">
        <v>510</v>
      </c>
      <c r="J12" s="30"/>
      <c r="K12" s="48"/>
      <c r="L12" s="50" t="str">
        <f>'COVER PAGE'!$F$9</f>
        <v>September</v>
      </c>
      <c r="M12" s="51">
        <f>'COVER PAGE'!$F$10</f>
        <v>45292</v>
      </c>
    </row>
    <row r="15" spans="1:13">
      <c r="C15" s="63" t="s">
        <v>125</v>
      </c>
      <c r="F15" s="214" t="s">
        <v>19</v>
      </c>
      <c r="G15" s="214"/>
      <c r="H15" s="214"/>
      <c r="I15" s="14"/>
      <c r="J15" s="214" t="s">
        <v>443</v>
      </c>
      <c r="K15" s="214"/>
      <c r="L15" s="214"/>
    </row>
    <row r="16" spans="1:13">
      <c r="B16" s="45" t="s">
        <v>28</v>
      </c>
      <c r="C16" s="63" t="s">
        <v>126</v>
      </c>
      <c r="F16" s="36" t="s">
        <v>16</v>
      </c>
      <c r="G16" s="36"/>
      <c r="H16" s="36" t="s">
        <v>17</v>
      </c>
      <c r="I16" s="36"/>
      <c r="J16" s="36" t="s">
        <v>16</v>
      </c>
      <c r="K16" s="36"/>
      <c r="L16" s="36" t="s">
        <v>17</v>
      </c>
    </row>
    <row r="17" spans="1:15">
      <c r="B17" s="45" t="s">
        <v>37</v>
      </c>
      <c r="C17" s="63" t="s">
        <v>127</v>
      </c>
      <c r="H17" s="58" t="s">
        <v>38</v>
      </c>
      <c r="L17" s="58" t="s">
        <v>38</v>
      </c>
    </row>
    <row r="19" spans="1:15">
      <c r="A19" s="44" t="s">
        <v>61</v>
      </c>
      <c r="B19" s="8" t="s">
        <v>128</v>
      </c>
    </row>
    <row r="20" spans="1:15">
      <c r="B20" s="8" t="s">
        <v>129</v>
      </c>
      <c r="C20" s="62">
        <v>0</v>
      </c>
      <c r="F20" s="113"/>
      <c r="H20" s="113"/>
      <c r="J20" s="113"/>
      <c r="L20" s="113"/>
    </row>
    <row r="22" spans="1:15">
      <c r="A22" s="44" t="s">
        <v>62</v>
      </c>
      <c r="B22" s="8" t="s">
        <v>130</v>
      </c>
      <c r="C22" s="64" t="s">
        <v>131</v>
      </c>
      <c r="F22" s="113"/>
      <c r="H22" s="113"/>
      <c r="J22" s="113"/>
      <c r="L22" s="113"/>
    </row>
    <row r="24" spans="1:15">
      <c r="A24" s="44" t="s">
        <v>63</v>
      </c>
      <c r="B24" s="14" t="s">
        <v>558</v>
      </c>
    </row>
    <row r="25" spans="1:15">
      <c r="B25" s="8" t="s">
        <v>132</v>
      </c>
      <c r="N25"/>
      <c r="O25"/>
    </row>
    <row r="26" spans="1:15">
      <c r="B26" s="8" t="s">
        <v>133</v>
      </c>
      <c r="C26" s="64" t="s">
        <v>134</v>
      </c>
      <c r="F26" s="113"/>
      <c r="H26" s="113"/>
      <c r="J26" s="113"/>
      <c r="L26" s="113"/>
    </row>
    <row r="28" spans="1:15">
      <c r="A28" s="44" t="s">
        <v>64</v>
      </c>
      <c r="B28" s="8" t="s">
        <v>135</v>
      </c>
      <c r="C28" s="64" t="s">
        <v>136</v>
      </c>
      <c r="F28" s="113"/>
      <c r="H28" s="113"/>
      <c r="J28" s="113"/>
      <c r="L28" s="113"/>
    </row>
    <row r="30" spans="1:15">
      <c r="A30" s="44" t="s">
        <v>65</v>
      </c>
      <c r="B30" s="8" t="s">
        <v>137</v>
      </c>
    </row>
    <row r="31" spans="1:15">
      <c r="B31" s="8" t="s">
        <v>138</v>
      </c>
      <c r="C31" s="64" t="s">
        <v>139</v>
      </c>
      <c r="F31" s="113"/>
      <c r="H31" s="113"/>
      <c r="J31" s="113"/>
      <c r="L31" s="113"/>
    </row>
    <row r="33" spans="1:12">
      <c r="A33" s="44" t="s">
        <v>66</v>
      </c>
      <c r="B33" s="8" t="s">
        <v>140</v>
      </c>
      <c r="C33" s="64" t="s">
        <v>141</v>
      </c>
      <c r="F33" s="113"/>
      <c r="H33" s="113"/>
      <c r="J33" s="113"/>
      <c r="L33" s="113"/>
    </row>
    <row r="35" spans="1:12">
      <c r="A35" s="44" t="s">
        <v>67</v>
      </c>
      <c r="B35" s="8" t="s">
        <v>142</v>
      </c>
    </row>
    <row r="36" spans="1:12">
      <c r="B36" s="8" t="s">
        <v>143</v>
      </c>
      <c r="C36" s="64" t="s">
        <v>144</v>
      </c>
      <c r="F36" s="113"/>
      <c r="H36" s="113"/>
      <c r="J36" s="113"/>
      <c r="L36" s="113"/>
    </row>
    <row r="38" spans="1:12">
      <c r="A38" s="44" t="s">
        <v>68</v>
      </c>
      <c r="B38" s="8" t="s">
        <v>145</v>
      </c>
      <c r="C38" s="64" t="s">
        <v>146</v>
      </c>
      <c r="F38" s="113"/>
      <c r="H38" s="113"/>
      <c r="J38" s="113"/>
      <c r="L38" s="113"/>
    </row>
    <row r="40" spans="1:12">
      <c r="A40" s="44" t="s">
        <v>147</v>
      </c>
      <c r="B40" s="8" t="s">
        <v>542</v>
      </c>
    </row>
    <row r="41" spans="1:12">
      <c r="B41" s="8" t="s">
        <v>148</v>
      </c>
    </row>
    <row r="42" spans="1:12">
      <c r="B42" s="8" t="s">
        <v>543</v>
      </c>
      <c r="C42" s="64" t="s">
        <v>149</v>
      </c>
      <c r="F42" s="113"/>
      <c r="H42" s="113"/>
      <c r="J42" s="113"/>
      <c r="L42" s="113"/>
    </row>
    <row r="44" spans="1:12">
      <c r="A44" s="44" t="s">
        <v>150</v>
      </c>
      <c r="B44" s="8" t="s">
        <v>151</v>
      </c>
      <c r="C44" s="64" t="s">
        <v>152</v>
      </c>
      <c r="F44" s="113"/>
      <c r="H44" s="113"/>
      <c r="J44" s="113"/>
      <c r="L44" s="113"/>
    </row>
    <row r="46" spans="1:12">
      <c r="A46" s="44" t="s">
        <v>153</v>
      </c>
      <c r="B46" s="8" t="s">
        <v>154</v>
      </c>
    </row>
    <row r="47" spans="1:12">
      <c r="B47" s="8" t="s">
        <v>155</v>
      </c>
      <c r="C47" s="64" t="s">
        <v>156</v>
      </c>
      <c r="F47" s="113"/>
      <c r="H47" s="113"/>
      <c r="J47" s="113"/>
      <c r="L47" s="113"/>
    </row>
    <row r="49" spans="1:12">
      <c r="A49" s="44" t="s">
        <v>157</v>
      </c>
      <c r="B49" s="8" t="s">
        <v>158</v>
      </c>
      <c r="C49" s="64" t="s">
        <v>159</v>
      </c>
      <c r="F49" s="113"/>
      <c r="H49" s="113"/>
      <c r="J49" s="113"/>
      <c r="L49" s="113"/>
    </row>
    <row r="51" spans="1:12">
      <c r="A51" s="44" t="s">
        <v>160</v>
      </c>
      <c r="B51" s="8" t="s">
        <v>161</v>
      </c>
    </row>
    <row r="52" spans="1:12">
      <c r="B52" s="8" t="s">
        <v>162</v>
      </c>
      <c r="C52" s="64" t="s">
        <v>163</v>
      </c>
      <c r="F52" s="113"/>
      <c r="H52" s="113"/>
      <c r="J52" s="113"/>
      <c r="L52" s="113"/>
    </row>
    <row r="54" spans="1:12">
      <c r="A54" s="44" t="s">
        <v>164</v>
      </c>
      <c r="B54" s="8" t="s">
        <v>165</v>
      </c>
    </row>
    <row r="55" spans="1:12">
      <c r="B55" s="8" t="s">
        <v>166</v>
      </c>
      <c r="C55" s="64" t="s">
        <v>167</v>
      </c>
      <c r="F55" s="113"/>
      <c r="H55" s="113"/>
      <c r="J55" s="113"/>
      <c r="L55" s="113"/>
    </row>
    <row r="57" spans="1:12">
      <c r="A57" s="44" t="s">
        <v>168</v>
      </c>
      <c r="B57" s="8" t="s">
        <v>169</v>
      </c>
    </row>
    <row r="58" spans="1:12">
      <c r="B58" s="8" t="s">
        <v>170</v>
      </c>
      <c r="C58" s="64" t="s">
        <v>171</v>
      </c>
      <c r="F58" s="113"/>
      <c r="H58" s="113"/>
      <c r="J58" s="113"/>
      <c r="L58" s="113"/>
    </row>
    <row r="62" spans="1:12">
      <c r="B62" s="168" t="s">
        <v>34</v>
      </c>
      <c r="F62" s="22">
        <f>+F20+F22+F26+F28+F31+F33+F36+F38+F42+F44+F47+F49+F52+F55+F58</f>
        <v>0</v>
      </c>
      <c r="H62" s="22">
        <f>+H20+H22+H26+H28+H31+H33+H36+H38+H42+H44+H47+H49+H52+H55+H58</f>
        <v>0</v>
      </c>
      <c r="J62" s="22">
        <f>+J20+J22+J26+J28+J31+J33+J36+J38+J42+J44+J47+J49+J52+J55+J58</f>
        <v>0</v>
      </c>
      <c r="L62" s="22">
        <f>+L20+L22+L26+L28+L31+L33+L36+L38+L42+L44+L47+L49+L52+L55+L58</f>
        <v>0</v>
      </c>
    </row>
  </sheetData>
  <sheetProtection algorithmName="SHA-512" hashValue="HMsLtHTeKx5yjL0wEYmnGxBPHz+jlR19dkrJn4RxATZfKrF+MM3q81lyWv6IvlRU+xWeMsE4wO+C0odv4v3tQQ==" saltValue="5Iudf5q+pSkOCmXuHQthTg==" spinCount="100000" sheet="1" selectLockedCells="1"/>
  <mergeCells count="2">
    <mergeCell ref="F15:H15"/>
    <mergeCell ref="J15:L15"/>
  </mergeCells>
  <pageMargins left="0.7" right="0.7" top="0.75" bottom="0.75" header="0.3" footer="0.3"/>
  <pageSetup scale="8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2:K61"/>
  <sheetViews>
    <sheetView showGridLines="0" topLeftCell="A28" zoomScale="112" zoomScaleNormal="112" workbookViewId="0">
      <selection activeCell="E53" sqref="E53"/>
    </sheetView>
  </sheetViews>
  <sheetFormatPr defaultColWidth="8.5703125" defaultRowHeight="12.75"/>
  <cols>
    <col min="1" max="1" width="4.42578125" style="8" customWidth="1"/>
    <col min="2" max="2" width="21.5703125" style="8" bestFit="1" customWidth="1"/>
    <col min="3" max="3" width="10.5703125" style="8" customWidth="1"/>
    <col min="4" max="4" width="5.42578125" style="8" customWidth="1"/>
    <col min="5" max="5" width="9.42578125" style="8" customWidth="1"/>
    <col min="6" max="6" width="1.5703125" style="8" customWidth="1"/>
    <col min="7" max="7" width="12.42578125" style="8" customWidth="1"/>
    <col min="8" max="8" width="1.5703125" style="8" customWidth="1"/>
    <col min="9" max="9" width="10.42578125" style="8" customWidth="1"/>
    <col min="10" max="10" width="1.5703125" style="8" customWidth="1"/>
    <col min="11" max="11" width="12.42578125" style="8" customWidth="1"/>
    <col min="12" max="16384" width="8.5703125" style="8"/>
  </cols>
  <sheetData>
    <row r="2" spans="1:11">
      <c r="A2" s="109"/>
      <c r="B2" s="24"/>
      <c r="C2" s="24"/>
      <c r="D2" s="109"/>
      <c r="E2" s="24"/>
      <c r="F2" s="24"/>
      <c r="G2" s="24"/>
      <c r="H2" s="24"/>
      <c r="I2" s="24"/>
      <c r="J2" s="24"/>
      <c r="K2" s="24" t="s">
        <v>534</v>
      </c>
    </row>
    <row r="4" spans="1:11">
      <c r="C4" s="63" t="s">
        <v>125</v>
      </c>
      <c r="E4" s="214" t="s">
        <v>19</v>
      </c>
      <c r="F4" s="214"/>
      <c r="G4" s="214"/>
      <c r="I4" s="214" t="s">
        <v>443</v>
      </c>
      <c r="J4" s="214"/>
      <c r="K4" s="214"/>
    </row>
    <row r="5" spans="1:11">
      <c r="B5" s="45" t="s">
        <v>28</v>
      </c>
      <c r="C5" s="63" t="s">
        <v>126</v>
      </c>
      <c r="E5" s="36" t="s">
        <v>16</v>
      </c>
      <c r="F5" s="36"/>
      <c r="G5" s="36" t="s">
        <v>17</v>
      </c>
      <c r="H5" s="36"/>
      <c r="I5" s="36" t="s">
        <v>16</v>
      </c>
      <c r="J5" s="36"/>
      <c r="K5" s="36" t="s">
        <v>17</v>
      </c>
    </row>
    <row r="6" spans="1:11">
      <c r="B6" s="45" t="s">
        <v>37</v>
      </c>
      <c r="C6" s="63" t="s">
        <v>127</v>
      </c>
      <c r="G6" s="58" t="s">
        <v>38</v>
      </c>
      <c r="K6" s="58" t="s">
        <v>38</v>
      </c>
    </row>
    <row r="7" spans="1:11">
      <c r="C7" s="62"/>
    </row>
    <row r="8" spans="1:11">
      <c r="A8" s="44" t="s">
        <v>172</v>
      </c>
      <c r="B8" s="8" t="s">
        <v>173</v>
      </c>
      <c r="C8" s="62"/>
    </row>
    <row r="9" spans="1:11">
      <c r="B9" s="8" t="s">
        <v>174</v>
      </c>
      <c r="C9" s="64" t="s">
        <v>175</v>
      </c>
      <c r="E9" s="113"/>
      <c r="G9" s="113"/>
      <c r="I9" s="113"/>
      <c r="K9" s="113"/>
    </row>
    <row r="10" spans="1:11">
      <c r="C10" s="62"/>
    </row>
    <row r="11" spans="1:11">
      <c r="A11" s="44" t="s">
        <v>176</v>
      </c>
      <c r="B11" s="8" t="s">
        <v>177</v>
      </c>
      <c r="E11" s="113"/>
      <c r="G11" s="113"/>
      <c r="I11" s="113"/>
      <c r="K11" s="113"/>
    </row>
    <row r="12" spans="1:11">
      <c r="A12" s="44"/>
      <c r="B12" s="8" t="s">
        <v>178</v>
      </c>
      <c r="C12" s="64" t="s">
        <v>179</v>
      </c>
    </row>
    <row r="13" spans="1:11">
      <c r="C13" s="62"/>
    </row>
    <row r="14" spans="1:11">
      <c r="A14" s="44" t="s">
        <v>180</v>
      </c>
      <c r="B14" s="8" t="s">
        <v>181</v>
      </c>
      <c r="C14" s="62"/>
    </row>
    <row r="15" spans="1:11">
      <c r="B15" s="8" t="s">
        <v>182</v>
      </c>
      <c r="C15" s="64" t="s">
        <v>179</v>
      </c>
      <c r="E15" s="113"/>
      <c r="G15" s="113"/>
      <c r="I15" s="113"/>
      <c r="K15" s="113"/>
    </row>
    <row r="16" spans="1:11">
      <c r="C16" s="62"/>
    </row>
    <row r="17" spans="1:11">
      <c r="A17" s="44" t="s">
        <v>183</v>
      </c>
      <c r="B17" s="8" t="s">
        <v>184</v>
      </c>
      <c r="C17" s="64" t="s">
        <v>185</v>
      </c>
      <c r="E17" s="113"/>
      <c r="G17" s="113"/>
      <c r="I17" s="113"/>
      <c r="K17" s="113"/>
    </row>
    <row r="18" spans="1:11">
      <c r="A18" s="44"/>
      <c r="B18" s="8" t="s">
        <v>170</v>
      </c>
      <c r="C18" s="64"/>
    </row>
    <row r="19" spans="1:11">
      <c r="C19" s="62"/>
    </row>
    <row r="20" spans="1:11">
      <c r="A20" s="44" t="s">
        <v>186</v>
      </c>
      <c r="B20" s="8" t="s">
        <v>187</v>
      </c>
      <c r="C20" s="62"/>
      <c r="E20" s="113"/>
      <c r="G20" s="113"/>
      <c r="I20" s="113"/>
      <c r="K20" s="113"/>
    </row>
    <row r="21" spans="1:11">
      <c r="B21" s="8" t="s">
        <v>188</v>
      </c>
      <c r="C21" s="64" t="s">
        <v>189</v>
      </c>
    </row>
    <row r="23" spans="1:11">
      <c r="A23" s="44" t="s">
        <v>190</v>
      </c>
      <c r="B23" s="8" t="s">
        <v>191</v>
      </c>
    </row>
    <row r="24" spans="1:11">
      <c r="B24" s="8" t="s">
        <v>192</v>
      </c>
      <c r="C24" s="62"/>
    </row>
    <row r="25" spans="1:11">
      <c r="A25" s="44"/>
      <c r="B25" s="8" t="s">
        <v>193</v>
      </c>
      <c r="C25" s="64" t="s">
        <v>194</v>
      </c>
      <c r="E25" s="113"/>
      <c r="G25" s="113"/>
      <c r="I25" s="113"/>
      <c r="K25" s="113"/>
    </row>
    <row r="26" spans="1:11">
      <c r="C26" s="64"/>
    </row>
    <row r="27" spans="1:11">
      <c r="A27" s="44" t="s">
        <v>195</v>
      </c>
      <c r="B27" s="8" t="s">
        <v>196</v>
      </c>
      <c r="C27" s="62"/>
      <c r="E27" s="113"/>
      <c r="G27" s="113"/>
      <c r="I27" s="113"/>
      <c r="K27" s="113"/>
    </row>
    <row r="28" spans="1:11">
      <c r="B28" s="8" t="s">
        <v>197</v>
      </c>
      <c r="C28" s="64" t="s">
        <v>198</v>
      </c>
    </row>
    <row r="29" spans="1:11">
      <c r="C29" s="62"/>
    </row>
    <row r="30" spans="1:11">
      <c r="A30" s="44" t="s">
        <v>199</v>
      </c>
      <c r="B30" s="8" t="s">
        <v>200</v>
      </c>
      <c r="C30" s="62"/>
    </row>
    <row r="31" spans="1:11">
      <c r="B31" s="8" t="s">
        <v>201</v>
      </c>
      <c r="C31" s="62"/>
      <c r="E31" s="113"/>
      <c r="G31" s="113"/>
      <c r="I31" s="113"/>
      <c r="K31" s="113"/>
    </row>
    <row r="32" spans="1:11">
      <c r="B32" s="8" t="s">
        <v>202</v>
      </c>
      <c r="C32" s="64" t="s">
        <v>203</v>
      </c>
    </row>
    <row r="33" spans="1:11">
      <c r="A33" s="44" t="s">
        <v>204</v>
      </c>
      <c r="B33" s="8" t="s">
        <v>205</v>
      </c>
      <c r="C33" s="64"/>
    </row>
    <row r="34" spans="1:11">
      <c r="B34" s="8" t="s">
        <v>206</v>
      </c>
      <c r="C34" s="64" t="s">
        <v>207</v>
      </c>
      <c r="E34" s="113"/>
      <c r="G34" s="113"/>
      <c r="I34" s="113"/>
      <c r="K34" s="113"/>
    </row>
    <row r="35" spans="1:11">
      <c r="A35" s="44" t="s">
        <v>208</v>
      </c>
      <c r="B35" s="8" t="s">
        <v>209</v>
      </c>
      <c r="C35" s="64"/>
    </row>
    <row r="36" spans="1:11">
      <c r="B36" s="8" t="s">
        <v>210</v>
      </c>
      <c r="C36" s="64" t="s">
        <v>211</v>
      </c>
      <c r="E36" s="113"/>
      <c r="G36" s="113"/>
      <c r="I36" s="113"/>
      <c r="K36" s="113"/>
    </row>
    <row r="37" spans="1:11">
      <c r="A37" s="44"/>
      <c r="C37" s="64"/>
    </row>
    <row r="38" spans="1:11">
      <c r="A38" s="44" t="s">
        <v>212</v>
      </c>
      <c r="B38" s="8" t="s">
        <v>213</v>
      </c>
      <c r="C38" s="62"/>
    </row>
    <row r="39" spans="1:11">
      <c r="A39" s="44"/>
      <c r="B39" s="8" t="s">
        <v>214</v>
      </c>
      <c r="C39" s="64" t="s">
        <v>215</v>
      </c>
      <c r="E39" s="113"/>
      <c r="G39" s="113"/>
      <c r="I39" s="113"/>
      <c r="K39" s="113"/>
    </row>
    <row r="40" spans="1:11">
      <c r="C40" s="64"/>
    </row>
    <row r="41" spans="1:11">
      <c r="A41" s="44" t="s">
        <v>216</v>
      </c>
      <c r="B41" s="8" t="s">
        <v>217</v>
      </c>
      <c r="C41" s="64" t="s">
        <v>218</v>
      </c>
    </row>
    <row r="42" spans="1:11">
      <c r="A42" s="44"/>
      <c r="C42" s="62"/>
      <c r="E42" s="113"/>
      <c r="G42" s="113"/>
      <c r="I42" s="113"/>
      <c r="K42" s="113"/>
    </row>
    <row r="43" spans="1:11">
      <c r="A43" s="44" t="s">
        <v>219</v>
      </c>
      <c r="B43" s="8" t="s">
        <v>220</v>
      </c>
      <c r="C43" s="64"/>
    </row>
    <row r="44" spans="1:11">
      <c r="B44" s="8" t="s">
        <v>221</v>
      </c>
      <c r="C44" s="64" t="s">
        <v>222</v>
      </c>
    </row>
    <row r="45" spans="1:11">
      <c r="A45" s="44"/>
      <c r="C45" s="62"/>
      <c r="E45" s="113"/>
      <c r="G45" s="113"/>
      <c r="I45" s="113"/>
      <c r="K45" s="113"/>
    </row>
    <row r="46" spans="1:11">
      <c r="A46" s="44" t="s">
        <v>223</v>
      </c>
      <c r="B46" s="8" t="s">
        <v>224</v>
      </c>
      <c r="C46" s="64"/>
    </row>
    <row r="47" spans="1:11">
      <c r="B47" s="8" t="s">
        <v>544</v>
      </c>
      <c r="C47" s="64" t="s">
        <v>225</v>
      </c>
      <c r="E47" s="113"/>
      <c r="G47" s="113"/>
      <c r="I47" s="113"/>
      <c r="K47" s="113"/>
    </row>
    <row r="48" spans="1:11">
      <c r="C48" s="62"/>
    </row>
    <row r="49" spans="1:11">
      <c r="A49" s="44" t="s">
        <v>226</v>
      </c>
      <c r="B49" s="8" t="s">
        <v>227</v>
      </c>
    </row>
    <row r="50" spans="1:11">
      <c r="B50" s="8" t="s">
        <v>228</v>
      </c>
      <c r="C50" s="46" t="s">
        <v>229</v>
      </c>
      <c r="E50" s="113"/>
      <c r="G50" s="113"/>
      <c r="I50" s="113"/>
      <c r="K50" s="113"/>
    </row>
    <row r="51" spans="1:11">
      <c r="C51" s="24"/>
    </row>
    <row r="52" spans="1:11">
      <c r="A52" s="44" t="s">
        <v>230</v>
      </c>
      <c r="B52" s="8" t="s">
        <v>231</v>
      </c>
      <c r="C52" s="24"/>
    </row>
    <row r="53" spans="1:11">
      <c r="B53" s="8" t="s">
        <v>545</v>
      </c>
      <c r="C53" s="46" t="s">
        <v>232</v>
      </c>
      <c r="E53" s="113"/>
      <c r="G53" s="113"/>
      <c r="I53" s="113"/>
      <c r="K53" s="113"/>
    </row>
    <row r="54" spans="1:11">
      <c r="C54" s="24"/>
    </row>
    <row r="55" spans="1:11">
      <c r="A55" s="44" t="s">
        <v>233</v>
      </c>
      <c r="B55" s="8" t="s">
        <v>234</v>
      </c>
      <c r="C55" s="46" t="s">
        <v>235</v>
      </c>
      <c r="E55" s="113"/>
      <c r="G55" s="113"/>
      <c r="I55" s="113"/>
      <c r="K55" s="113"/>
    </row>
    <row r="57" spans="1:11">
      <c r="A57" s="44" t="s">
        <v>236</v>
      </c>
      <c r="B57" s="8" t="s">
        <v>237</v>
      </c>
      <c r="C57" s="46" t="s">
        <v>238</v>
      </c>
      <c r="E57" s="113"/>
      <c r="G57" s="113"/>
      <c r="I57" s="113"/>
      <c r="K57" s="113"/>
    </row>
    <row r="61" spans="1:11">
      <c r="B61" s="168" t="s">
        <v>34</v>
      </c>
      <c r="E61" s="22">
        <f>E9+E11+E15+E17+E20+E25+E27+E31+E34+E36+E39+E42+E45+E47+E50+E53+E55+E57</f>
        <v>0</v>
      </c>
      <c r="G61" s="22">
        <f>G9+G11+G15+G17+G20+G25+G27+G31+G34+G36+G39+G42+G45+G47+G50+G53+G55+G57</f>
        <v>0</v>
      </c>
      <c r="I61" s="22">
        <f>I9+I11+I15+I17+I20+I25+I27+I31+I34+I36+I39+I42+I45+I47+I50+I53+I55+I57</f>
        <v>0</v>
      </c>
      <c r="K61" s="22">
        <f>K9+K11+K15+K17+K20+K25+K27+K31+K34+K36+K39+K42+K45+K47+K50+K53+K55+K57</f>
        <v>0</v>
      </c>
    </row>
  </sheetData>
  <sheetProtection algorithmName="SHA-512" hashValue="NquuJQcPiYkainZqfpkgLkWFxfhe1SKaYipR12mrNrzCWKBmxa7AGAgD+QIR1Il74ecFkhCzR4SFakuFBSI7Iw==" saltValue="X1iywh0ohdqIW02quoU/0w==" spinCount="100000" sheet="1" selectLockedCells="1"/>
  <mergeCells count="2">
    <mergeCell ref="E4:G4"/>
    <mergeCell ref="I4:K4"/>
  </mergeCells>
  <pageMargins left="0.7" right="0.7" top="0.75" bottom="0.75" header="0.3" footer="0.3"/>
  <pageSetup scale="8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K60"/>
  <sheetViews>
    <sheetView showGridLines="0" zoomScaleNormal="100" workbookViewId="0">
      <selection activeCell="I12" sqref="I12"/>
    </sheetView>
  </sheetViews>
  <sheetFormatPr defaultColWidth="9.42578125" defaultRowHeight="12.75"/>
  <cols>
    <col min="1" max="1" width="3.42578125" style="8" customWidth="1"/>
    <col min="2" max="2" width="18.42578125" style="8" customWidth="1"/>
    <col min="3" max="3" width="12" style="8" customWidth="1"/>
    <col min="4" max="5" width="5.5703125" style="8" customWidth="1"/>
    <col min="6" max="6" width="1.5703125" style="8" customWidth="1"/>
    <col min="7" max="7" width="12.42578125" style="8" customWidth="1"/>
    <col min="8" max="8" width="1.5703125" style="8" customWidth="1"/>
    <col min="9" max="9" width="5.5703125" style="8" customWidth="1"/>
    <col min="10" max="10" width="1.5703125" style="8" customWidth="1"/>
    <col min="11" max="11" width="12.42578125" style="8" customWidth="1"/>
    <col min="12" max="16384" width="9.42578125" style="8"/>
  </cols>
  <sheetData>
    <row r="1" spans="1:11" ht="13.5" customHeight="1"/>
    <row r="2" spans="1:11" ht="15.6" customHeight="1">
      <c r="A2" s="109"/>
      <c r="B2" s="24"/>
      <c r="C2" s="24"/>
      <c r="D2" s="109"/>
      <c r="E2" s="24"/>
      <c r="F2" s="24"/>
      <c r="G2" s="24"/>
      <c r="H2" s="24"/>
      <c r="I2" s="24"/>
      <c r="J2" s="24"/>
      <c r="K2" s="24" t="s">
        <v>533</v>
      </c>
    </row>
    <row r="3" spans="1:11" ht="16.5" customHeight="1"/>
    <row r="4" spans="1:11">
      <c r="C4" s="63" t="s">
        <v>125</v>
      </c>
      <c r="E4" s="214" t="s">
        <v>19</v>
      </c>
      <c r="F4" s="214"/>
      <c r="G4" s="214"/>
      <c r="I4" s="214" t="s">
        <v>443</v>
      </c>
      <c r="J4" s="214"/>
      <c r="K4" s="214"/>
    </row>
    <row r="5" spans="1:11">
      <c r="B5" s="45" t="s">
        <v>28</v>
      </c>
      <c r="C5" s="63" t="s">
        <v>126</v>
      </c>
      <c r="E5" s="36" t="s">
        <v>16</v>
      </c>
      <c r="F5" s="36"/>
      <c r="G5" s="36" t="s">
        <v>17</v>
      </c>
      <c r="H5" s="36"/>
      <c r="I5" s="36" t="s">
        <v>16</v>
      </c>
      <c r="J5" s="36"/>
      <c r="K5" s="36" t="s">
        <v>17</v>
      </c>
    </row>
    <row r="6" spans="1:11">
      <c r="B6" s="45" t="s">
        <v>37</v>
      </c>
      <c r="C6" s="63" t="s">
        <v>127</v>
      </c>
      <c r="G6" s="58" t="s">
        <v>38</v>
      </c>
      <c r="K6" s="58" t="s">
        <v>38</v>
      </c>
    </row>
    <row r="7" spans="1:11">
      <c r="C7" s="62"/>
    </row>
    <row r="8" spans="1:11">
      <c r="A8" s="44" t="s">
        <v>239</v>
      </c>
      <c r="B8" s="8" t="s">
        <v>240</v>
      </c>
      <c r="C8" s="62"/>
    </row>
    <row r="9" spans="1:11">
      <c r="B9" s="8" t="s">
        <v>241</v>
      </c>
      <c r="C9" s="64" t="s">
        <v>242</v>
      </c>
      <c r="E9" s="113"/>
      <c r="G9" s="113"/>
      <c r="I9" s="113"/>
      <c r="K9" s="113"/>
    </row>
    <row r="10" spans="1:11" ht="11.1" customHeight="1">
      <c r="C10" s="62"/>
    </row>
    <row r="11" spans="1:11">
      <c r="A11" s="44" t="s">
        <v>243</v>
      </c>
      <c r="B11" s="8" t="s">
        <v>244</v>
      </c>
    </row>
    <row r="12" spans="1:11">
      <c r="A12" s="44"/>
      <c r="B12" s="8" t="s">
        <v>245</v>
      </c>
      <c r="C12" s="64" t="s">
        <v>246</v>
      </c>
      <c r="E12" s="113"/>
      <c r="G12" s="113"/>
      <c r="I12" s="113"/>
      <c r="K12" s="113"/>
    </row>
    <row r="13" spans="1:11" ht="9.6" customHeight="1">
      <c r="C13" s="62"/>
    </row>
    <row r="14" spans="1:11">
      <c r="A14" s="44" t="s">
        <v>247</v>
      </c>
      <c r="B14" s="8" t="s">
        <v>248</v>
      </c>
      <c r="C14" s="62"/>
    </row>
    <row r="15" spans="1:11" ht="11.85" customHeight="1">
      <c r="B15" s="8" t="s">
        <v>249</v>
      </c>
      <c r="C15" s="64" t="s">
        <v>250</v>
      </c>
      <c r="E15" s="113"/>
      <c r="G15" s="113"/>
      <c r="I15" s="113"/>
      <c r="K15" s="113"/>
    </row>
    <row r="16" spans="1:11" ht="11.1" customHeight="1">
      <c r="C16" s="62"/>
    </row>
    <row r="17" spans="1:11">
      <c r="A17" s="44" t="s">
        <v>251</v>
      </c>
      <c r="B17" s="8" t="s">
        <v>252</v>
      </c>
      <c r="C17" s="64" t="s">
        <v>253</v>
      </c>
      <c r="E17" s="113"/>
      <c r="G17" s="113"/>
      <c r="I17" s="113"/>
      <c r="K17" s="113"/>
    </row>
    <row r="18" spans="1:11" ht="12" customHeight="1">
      <c r="C18" s="62"/>
    </row>
    <row r="19" spans="1:11">
      <c r="A19" s="44" t="s">
        <v>254</v>
      </c>
      <c r="B19" s="8" t="s">
        <v>255</v>
      </c>
      <c r="C19" s="62"/>
    </row>
    <row r="20" spans="1:11">
      <c r="B20" s="8" t="s">
        <v>256</v>
      </c>
      <c r="C20" s="64" t="s">
        <v>257</v>
      </c>
      <c r="E20" s="113"/>
      <c r="G20" s="113"/>
      <c r="I20" s="113"/>
      <c r="K20" s="113"/>
    </row>
    <row r="21" spans="1:11" ht="11.1" customHeight="1">
      <c r="C21" s="62"/>
    </row>
    <row r="22" spans="1:11">
      <c r="A22" s="44" t="s">
        <v>258</v>
      </c>
      <c r="B22" s="8" t="s">
        <v>259</v>
      </c>
    </row>
    <row r="23" spans="1:11">
      <c r="B23" s="8" t="s">
        <v>260</v>
      </c>
      <c r="C23" s="64" t="s">
        <v>261</v>
      </c>
      <c r="E23" s="113"/>
      <c r="G23" s="113"/>
      <c r="I23" s="113"/>
      <c r="K23" s="113"/>
    </row>
    <row r="24" spans="1:11" ht="11.1" customHeight="1">
      <c r="A24" s="44"/>
      <c r="C24" s="64"/>
    </row>
    <row r="25" spans="1:11">
      <c r="A25" s="44" t="s">
        <v>262</v>
      </c>
      <c r="B25" s="8" t="s">
        <v>548</v>
      </c>
      <c r="C25" s="64"/>
    </row>
    <row r="26" spans="1:11">
      <c r="A26" s="44"/>
      <c r="B26" s="8" t="s">
        <v>547</v>
      </c>
      <c r="C26" s="64" t="s">
        <v>263</v>
      </c>
      <c r="E26" s="113"/>
      <c r="G26" s="113"/>
      <c r="I26" s="113"/>
      <c r="K26" s="113"/>
    </row>
    <row r="27" spans="1:11">
      <c r="C27" s="64"/>
    </row>
    <row r="28" spans="1:11">
      <c r="A28" s="44" t="s">
        <v>264</v>
      </c>
      <c r="B28" s="8" t="s">
        <v>265</v>
      </c>
      <c r="C28" s="64" t="s">
        <v>266</v>
      </c>
      <c r="E28" s="113"/>
      <c r="G28" s="113"/>
      <c r="I28" s="113"/>
      <c r="K28" s="113"/>
    </row>
    <row r="29" spans="1:11">
      <c r="A29" s="44"/>
      <c r="C29" s="62"/>
    </row>
    <row r="30" spans="1:11">
      <c r="A30" s="44" t="s">
        <v>267</v>
      </c>
      <c r="B30" s="8" t="s">
        <v>268</v>
      </c>
      <c r="C30" s="64" t="s">
        <v>266</v>
      </c>
      <c r="E30" s="113"/>
      <c r="G30" s="113"/>
      <c r="I30" s="113"/>
      <c r="K30" s="113"/>
    </row>
    <row r="31" spans="1:11">
      <c r="C31" s="64"/>
    </row>
    <row r="32" spans="1:11">
      <c r="A32" s="44" t="s">
        <v>269</v>
      </c>
      <c r="B32" s="8" t="s">
        <v>270</v>
      </c>
      <c r="C32" s="62"/>
    </row>
    <row r="33" spans="1:11">
      <c r="A33" s="44"/>
      <c r="B33" s="8" t="s">
        <v>271</v>
      </c>
      <c r="C33" s="64" t="s">
        <v>272</v>
      </c>
      <c r="E33" s="113"/>
      <c r="G33" s="113"/>
      <c r="I33" s="113"/>
      <c r="K33" s="113"/>
    </row>
    <row r="34" spans="1:11">
      <c r="C34" s="64"/>
    </row>
    <row r="35" spans="1:11">
      <c r="A35" s="44" t="s">
        <v>273</v>
      </c>
      <c r="B35" s="14" t="s">
        <v>559</v>
      </c>
      <c r="C35" s="46" t="s">
        <v>274</v>
      </c>
      <c r="E35" s="113"/>
      <c r="G35" s="113"/>
      <c r="I35" s="113"/>
      <c r="K35" s="113"/>
    </row>
    <row r="36" spans="1:11">
      <c r="A36" s="44"/>
      <c r="C36" s="64"/>
    </row>
    <row r="37" spans="1:11">
      <c r="A37" s="44" t="s">
        <v>275</v>
      </c>
      <c r="B37" s="8" t="s">
        <v>276</v>
      </c>
      <c r="C37" s="64"/>
    </row>
    <row r="38" spans="1:11">
      <c r="A38" s="44"/>
      <c r="B38" s="8" t="s">
        <v>277</v>
      </c>
      <c r="C38" s="64" t="s">
        <v>278</v>
      </c>
      <c r="E38" s="113"/>
      <c r="G38" s="113"/>
      <c r="I38" s="113"/>
      <c r="K38" s="113"/>
    </row>
    <row r="39" spans="1:11">
      <c r="A39" s="44"/>
      <c r="C39" s="62"/>
    </row>
    <row r="40" spans="1:11">
      <c r="A40" s="44" t="s">
        <v>279</v>
      </c>
      <c r="B40" s="8" t="s">
        <v>280</v>
      </c>
    </row>
    <row r="41" spans="1:11">
      <c r="B41" s="8" t="s">
        <v>281</v>
      </c>
      <c r="C41" s="64" t="s">
        <v>282</v>
      </c>
      <c r="E41" s="113"/>
      <c r="G41" s="113"/>
      <c r="I41" s="113"/>
      <c r="K41" s="113"/>
    </row>
    <row r="42" spans="1:11">
      <c r="A42" s="44"/>
      <c r="C42" s="64"/>
    </row>
    <row r="43" spans="1:11">
      <c r="A43" s="44" t="s">
        <v>283</v>
      </c>
      <c r="B43" s="8" t="s">
        <v>284</v>
      </c>
      <c r="C43" s="64" t="s">
        <v>285</v>
      </c>
      <c r="E43" s="113"/>
      <c r="G43" s="113"/>
      <c r="I43" s="113"/>
      <c r="K43" s="113"/>
    </row>
    <row r="44" spans="1:11">
      <c r="A44" s="44"/>
      <c r="C44" s="64"/>
    </row>
    <row r="45" spans="1:11">
      <c r="A45" s="44" t="s">
        <v>286</v>
      </c>
      <c r="B45" s="8" t="s">
        <v>287</v>
      </c>
      <c r="C45" s="64"/>
    </row>
    <row r="46" spans="1:11">
      <c r="A46" s="44"/>
      <c r="B46" s="8" t="s">
        <v>546</v>
      </c>
      <c r="C46" s="64" t="s">
        <v>288</v>
      </c>
      <c r="E46" s="113"/>
      <c r="G46" s="113"/>
      <c r="I46" s="113"/>
      <c r="K46" s="113"/>
    </row>
    <row r="47" spans="1:11">
      <c r="A47" s="44"/>
      <c r="C47" s="64"/>
    </row>
    <row r="48" spans="1:11">
      <c r="A48" s="44" t="s">
        <v>289</v>
      </c>
      <c r="B48" s="8" t="s">
        <v>290</v>
      </c>
    </row>
    <row r="49" spans="1:11">
      <c r="B49" s="8" t="s">
        <v>277</v>
      </c>
      <c r="C49" s="64" t="s">
        <v>291</v>
      </c>
      <c r="E49" s="113"/>
      <c r="G49" s="113"/>
      <c r="I49" s="113"/>
      <c r="K49" s="113"/>
    </row>
    <row r="50" spans="1:11" ht="8.85" customHeight="1">
      <c r="A50" s="44"/>
    </row>
    <row r="51" spans="1:11">
      <c r="A51" s="12" t="s">
        <v>292</v>
      </c>
      <c r="B51" s="12" t="s">
        <v>293</v>
      </c>
      <c r="C51" s="64"/>
      <c r="E51" s="113"/>
      <c r="G51" s="113"/>
      <c r="I51" s="113"/>
      <c r="K51" s="113"/>
    </row>
    <row r="52" spans="1:11" ht="8.85" customHeight="1">
      <c r="A52" s="44"/>
    </row>
    <row r="53" spans="1:11" ht="8.1" customHeight="1">
      <c r="C53" s="44"/>
    </row>
    <row r="54" spans="1:11">
      <c r="B54" s="25" t="s">
        <v>294</v>
      </c>
      <c r="E54" s="22">
        <f>E9+E12+E15+E17+E20+E23+E26+E28+E30+E33+E35+E38+E41+E43+E46+E49+E51</f>
        <v>0</v>
      </c>
      <c r="G54" s="22">
        <f>G9+G12+G15+G17+G20+G23+G26+G28+G30+G33+G35+G38+G41+G43+G46+G49+G51</f>
        <v>0</v>
      </c>
      <c r="I54" s="22">
        <f>I9+I12+I15+I17+I20+I23+I26+I28+I30+I33+I35+I38+I41+I43+I46+I49+I51</f>
        <v>0</v>
      </c>
      <c r="K54" s="22">
        <f>K9+K12+K15+K17+K20+K23+K26+K28+K30+K33+K35+K38+K41+K43+K46+K49+K51</f>
        <v>0</v>
      </c>
    </row>
    <row r="55" spans="1:11">
      <c r="A55" s="44"/>
    </row>
    <row r="56" spans="1:11">
      <c r="C56" s="44"/>
    </row>
    <row r="58" spans="1:11">
      <c r="A58" s="44"/>
      <c r="C58" s="44"/>
    </row>
    <row r="60" spans="1:11">
      <c r="A60" s="44"/>
      <c r="C60" s="44"/>
    </row>
  </sheetData>
  <sheetProtection algorithmName="SHA-512" hashValue="nKW8w1crLHNsRDdhiwtQWnD122AKtVxsO/l3pCLo1RG4YDc0CljS8QVNRaNgmQEFUA7cVm9kV4udvImbxyyMbw==" saltValue="N72j0QsjJbIoEEqtTy3l4w==" spinCount="100000" sheet="1" selectLockedCells="1"/>
  <mergeCells count="2">
    <mergeCell ref="E4:G4"/>
    <mergeCell ref="I4:K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2:P98"/>
  <sheetViews>
    <sheetView showGridLines="0" topLeftCell="A49" zoomScaleNormal="100" workbookViewId="0">
      <selection activeCell="B77" sqref="B77:C77"/>
    </sheetView>
  </sheetViews>
  <sheetFormatPr defaultColWidth="8.5703125" defaultRowHeight="12.75"/>
  <cols>
    <col min="1" max="1" width="12.42578125" style="24" customWidth="1"/>
    <col min="2" max="2" width="38.42578125" style="8" customWidth="1"/>
    <col min="3" max="6" width="8.5703125" style="8"/>
    <col min="7" max="7" width="14.42578125" style="8" bestFit="1" customWidth="1"/>
    <col min="8" max="16384" width="8.5703125" style="8"/>
  </cols>
  <sheetData>
    <row r="2" spans="1:16">
      <c r="A2" s="43"/>
      <c r="B2" s="24"/>
      <c r="C2" s="24"/>
      <c r="D2" s="24"/>
      <c r="E2" s="111"/>
      <c r="F2" s="24"/>
      <c r="G2" s="24"/>
      <c r="H2" s="24"/>
      <c r="I2" s="24" t="s">
        <v>532</v>
      </c>
    </row>
    <row r="3" spans="1:16" ht="15">
      <c r="A3" s="30"/>
      <c r="B3" s="28"/>
      <c r="C3" s="28"/>
      <c r="D3" s="28"/>
      <c r="E3" s="28"/>
      <c r="F3" s="28"/>
      <c r="G3" s="28"/>
      <c r="H3" s="28"/>
      <c r="I3" s="24"/>
    </row>
    <row r="4" spans="1:16" ht="15">
      <c r="A4" s="71" t="s">
        <v>0</v>
      </c>
      <c r="B4" s="28"/>
      <c r="C4" s="28"/>
      <c r="D4" s="28"/>
      <c r="E4" s="28"/>
      <c r="F4" s="28"/>
      <c r="G4" s="28"/>
      <c r="H4" s="28"/>
      <c r="I4" s="24"/>
      <c r="J4" s="24"/>
    </row>
    <row r="5" spans="1:16" ht="15">
      <c r="A5" s="28"/>
      <c r="B5" s="28"/>
      <c r="C5" s="28"/>
      <c r="D5" s="28"/>
      <c r="E5" s="28"/>
      <c r="F5" s="28"/>
      <c r="G5" s="28"/>
      <c r="H5" s="28"/>
      <c r="I5" s="24"/>
      <c r="J5" s="24"/>
    </row>
    <row r="6" spans="1:16" ht="15">
      <c r="A6" s="27" t="s">
        <v>295</v>
      </c>
      <c r="B6" s="28"/>
      <c r="C6" s="28"/>
      <c r="D6" s="28"/>
      <c r="E6" s="28"/>
      <c r="F6" s="28"/>
      <c r="G6" s="28"/>
      <c r="H6" s="28"/>
      <c r="I6" s="24"/>
      <c r="J6" s="24"/>
    </row>
    <row r="7" spans="1:16" ht="15">
      <c r="A7" s="28"/>
      <c r="B7" s="28"/>
      <c r="C7" s="28"/>
      <c r="D7" s="28"/>
      <c r="E7" s="28"/>
      <c r="F7" s="28"/>
      <c r="G7" s="28"/>
      <c r="H7" s="28"/>
      <c r="I7" s="24"/>
      <c r="J7" s="24"/>
    </row>
    <row r="8" spans="1:16" ht="15">
      <c r="A8" s="27" t="s">
        <v>124</v>
      </c>
      <c r="B8" s="28"/>
      <c r="C8" s="28"/>
      <c r="D8" s="28"/>
      <c r="E8" s="28"/>
      <c r="F8" s="28"/>
      <c r="G8" s="28"/>
      <c r="H8" s="28"/>
      <c r="I8" s="24"/>
      <c r="J8" s="24"/>
    </row>
    <row r="9" spans="1:16" ht="15">
      <c r="A9" s="28"/>
      <c r="B9" s="28"/>
      <c r="C9" s="28"/>
      <c r="D9" s="28"/>
      <c r="E9" s="28"/>
      <c r="F9" s="28"/>
      <c r="G9" s="28"/>
      <c r="H9" s="28"/>
      <c r="I9" s="24"/>
      <c r="J9" s="24"/>
    </row>
    <row r="10" spans="1:16" ht="15">
      <c r="A10" s="28"/>
      <c r="B10" s="28"/>
      <c r="C10" s="28"/>
      <c r="D10" s="28"/>
      <c r="E10" s="28"/>
      <c r="F10" s="28"/>
      <c r="G10" s="28"/>
      <c r="H10" s="28"/>
      <c r="I10" s="24"/>
      <c r="J10" s="24"/>
    </row>
    <row r="11" spans="1:16" ht="15">
      <c r="A11" s="60" t="s">
        <v>503</v>
      </c>
      <c r="B11" s="28" t="str">
        <f>'COVER PAGE'!C7</f>
        <v>SELECT INSTITUTION</v>
      </c>
      <c r="C11" s="28"/>
      <c r="D11" s="28"/>
      <c r="E11" s="28" t="s">
        <v>499</v>
      </c>
      <c r="F11" s="30"/>
      <c r="G11" s="50" t="str">
        <f>'COVER PAGE'!$F$9</f>
        <v>September</v>
      </c>
      <c r="H11" s="51">
        <f>'COVER PAGE'!$F$10</f>
        <v>45292</v>
      </c>
      <c r="I11" s="24"/>
      <c r="J11" s="24"/>
    </row>
    <row r="14" spans="1:16">
      <c r="B14" s="25" t="s">
        <v>296</v>
      </c>
      <c r="D14" s="26" t="s">
        <v>16</v>
      </c>
      <c r="E14" s="36"/>
      <c r="G14" s="26" t="s">
        <v>297</v>
      </c>
      <c r="I14" s="45"/>
      <c r="J14" s="36"/>
    </row>
    <row r="15" spans="1:16">
      <c r="B15" s="25"/>
      <c r="C15" s="25"/>
      <c r="D15" s="25"/>
      <c r="E15" s="25"/>
      <c r="G15" s="84" t="s">
        <v>38</v>
      </c>
      <c r="H15"/>
      <c r="I15"/>
      <c r="J15"/>
      <c r="K15"/>
      <c r="L15"/>
      <c r="M15"/>
      <c r="N15"/>
      <c r="O15"/>
      <c r="P15"/>
    </row>
    <row r="16" spans="1:16">
      <c r="D16" s="8" t="s">
        <v>298</v>
      </c>
    </row>
    <row r="18" spans="1:7">
      <c r="A18" s="46" t="s">
        <v>61</v>
      </c>
      <c r="B18" s="8" t="s">
        <v>299</v>
      </c>
      <c r="D18" s="113"/>
      <c r="G18" s="113"/>
    </row>
    <row r="20" spans="1:7">
      <c r="A20" s="46" t="s">
        <v>62</v>
      </c>
      <c r="B20" s="8" t="s">
        <v>300</v>
      </c>
      <c r="D20" s="113"/>
      <c r="G20" s="113"/>
    </row>
    <row r="21" spans="1:7">
      <c r="A21" s="46"/>
    </row>
    <row r="22" spans="1:7">
      <c r="A22" s="46" t="s">
        <v>63</v>
      </c>
      <c r="B22" s="8" t="s">
        <v>301</v>
      </c>
      <c r="D22" s="113"/>
      <c r="G22" s="113"/>
    </row>
    <row r="23" spans="1:7">
      <c r="A23" s="46"/>
    </row>
    <row r="24" spans="1:7">
      <c r="A24" s="46" t="s">
        <v>64</v>
      </c>
      <c r="B24" s="8" t="s">
        <v>302</v>
      </c>
      <c r="D24" s="113"/>
      <c r="G24" s="113"/>
    </row>
    <row r="25" spans="1:7">
      <c r="A25" s="46"/>
    </row>
    <row r="26" spans="1:7">
      <c r="A26" s="46" t="s">
        <v>65</v>
      </c>
      <c r="B26" s="8" t="s">
        <v>303</v>
      </c>
      <c r="D26" s="113"/>
      <c r="G26" s="113"/>
    </row>
    <row r="27" spans="1:7">
      <c r="A27" s="46"/>
    </row>
    <row r="28" spans="1:7">
      <c r="A28" s="46" t="s">
        <v>66</v>
      </c>
      <c r="B28" s="8" t="s">
        <v>522</v>
      </c>
      <c r="D28" s="113"/>
      <c r="G28" s="113"/>
    </row>
    <row r="29" spans="1:7">
      <c r="A29" s="46"/>
    </row>
    <row r="30" spans="1:7" ht="12.75" customHeight="1">
      <c r="A30" s="46" t="s">
        <v>67</v>
      </c>
      <c r="B30" s="69" t="s">
        <v>304</v>
      </c>
      <c r="D30" s="113"/>
      <c r="G30" s="113"/>
    </row>
    <row r="31" spans="1:7">
      <c r="A31" s="46"/>
    </row>
    <row r="32" spans="1:7">
      <c r="A32" s="46" t="s">
        <v>68</v>
      </c>
      <c r="B32" s="8" t="s">
        <v>305</v>
      </c>
      <c r="D32" s="113"/>
      <c r="G32" s="113"/>
    </row>
    <row r="33" spans="1:7">
      <c r="A33" s="46"/>
    </row>
    <row r="34" spans="1:7">
      <c r="A34" s="46" t="s">
        <v>147</v>
      </c>
      <c r="B34" s="8" t="s">
        <v>306</v>
      </c>
      <c r="D34" s="113"/>
      <c r="G34" s="113"/>
    </row>
    <row r="35" spans="1:7">
      <c r="A35" s="46"/>
    </row>
    <row r="36" spans="1:7">
      <c r="A36" s="46" t="s">
        <v>150</v>
      </c>
      <c r="B36" s="8" t="s">
        <v>307</v>
      </c>
      <c r="D36" s="113"/>
      <c r="G36" s="113"/>
    </row>
    <row r="37" spans="1:7">
      <c r="A37" s="46"/>
    </row>
    <row r="38" spans="1:7">
      <c r="A38" s="46" t="s">
        <v>153</v>
      </c>
      <c r="B38" s="8" t="s">
        <v>308</v>
      </c>
      <c r="D38" s="113"/>
      <c r="G38" s="113"/>
    </row>
    <row r="39" spans="1:7">
      <c r="A39" s="46"/>
    </row>
    <row r="40" spans="1:7">
      <c r="A40" s="46" t="s">
        <v>157</v>
      </c>
      <c r="B40" s="8" t="s">
        <v>309</v>
      </c>
      <c r="D40" s="113"/>
      <c r="G40" s="113"/>
    </row>
    <row r="41" spans="1:7">
      <c r="A41" s="46"/>
    </row>
    <row r="42" spans="1:7">
      <c r="A42" s="46" t="s">
        <v>160</v>
      </c>
      <c r="B42" s="8" t="s">
        <v>310</v>
      </c>
      <c r="D42" s="113"/>
      <c r="G42" s="113"/>
    </row>
    <row r="43" spans="1:7">
      <c r="A43" s="46"/>
    </row>
    <row r="44" spans="1:7">
      <c r="A44" s="46" t="s">
        <v>164</v>
      </c>
      <c r="B44" s="8" t="s">
        <v>311</v>
      </c>
      <c r="D44" s="113"/>
      <c r="G44" s="113"/>
    </row>
    <row r="45" spans="1:7">
      <c r="A45" s="46"/>
    </row>
    <row r="46" spans="1:7">
      <c r="A46" s="46" t="s">
        <v>168</v>
      </c>
      <c r="B46" s="8" t="s">
        <v>551</v>
      </c>
      <c r="D46" s="113"/>
      <c r="G46" s="113"/>
    </row>
    <row r="47" spans="1:7">
      <c r="A47" s="46"/>
    </row>
    <row r="48" spans="1:7">
      <c r="A48" s="70" t="s">
        <v>172</v>
      </c>
      <c r="B48" s="69" t="s">
        <v>312</v>
      </c>
    </row>
    <row r="49" spans="1:7">
      <c r="A49" s="8"/>
      <c r="B49" s="69" t="s">
        <v>550</v>
      </c>
      <c r="D49" s="113"/>
      <c r="G49" s="113"/>
    </row>
    <row r="51" spans="1:7">
      <c r="A51" s="46" t="s">
        <v>176</v>
      </c>
      <c r="B51" s="8" t="s">
        <v>313</v>
      </c>
      <c r="D51" s="113"/>
      <c r="G51" s="113"/>
    </row>
    <row r="53" spans="1:7">
      <c r="A53" s="46" t="s">
        <v>180</v>
      </c>
      <c r="B53" s="8" t="s">
        <v>314</v>
      </c>
      <c r="D53" s="113"/>
      <c r="G53" s="113"/>
    </row>
    <row r="55" spans="1:7">
      <c r="A55" s="46" t="s">
        <v>183</v>
      </c>
      <c r="B55" s="8" t="s">
        <v>552</v>
      </c>
      <c r="D55" s="113"/>
      <c r="G55" s="113"/>
    </row>
    <row r="57" spans="1:7">
      <c r="B57" s="175" t="s">
        <v>315</v>
      </c>
      <c r="D57" s="113"/>
      <c r="G57" s="113"/>
    </row>
    <row r="58" spans="1:7">
      <c r="B58" s="167"/>
    </row>
    <row r="59" spans="1:7">
      <c r="B59" s="175" t="s">
        <v>316</v>
      </c>
      <c r="D59" s="113"/>
      <c r="G59" s="113"/>
    </row>
    <row r="60" spans="1:7">
      <c r="B60" s="167"/>
    </row>
    <row r="61" spans="1:7">
      <c r="B61" s="175" t="s">
        <v>317</v>
      </c>
      <c r="D61" s="113"/>
      <c r="G61" s="113"/>
    </row>
    <row r="62" spans="1:7">
      <c r="B62" s="167"/>
    </row>
    <row r="63" spans="1:7">
      <c r="B63" s="175" t="s">
        <v>318</v>
      </c>
      <c r="D63" s="113"/>
      <c r="G63" s="113"/>
    </row>
    <row r="64" spans="1:7">
      <c r="B64" s="125"/>
    </row>
    <row r="65" spans="2:9" ht="17.25" customHeight="1">
      <c r="B65" s="68" t="s">
        <v>48</v>
      </c>
      <c r="D65" s="22">
        <f>D55-(D57+D59+D61+D63)</f>
        <v>0</v>
      </c>
      <c r="G65" s="22">
        <f>G55-(G57+G59+G61+G63)</f>
        <v>0</v>
      </c>
    </row>
    <row r="67" spans="2:9">
      <c r="D67" s="13"/>
      <c r="E67" s="13"/>
      <c r="F67" s="13"/>
      <c r="G67" s="13"/>
    </row>
    <row r="68" spans="2:9">
      <c r="D68" s="13"/>
      <c r="E68" s="13"/>
      <c r="F68" s="13"/>
      <c r="G68" s="13"/>
    </row>
    <row r="69" spans="2:9" ht="12.6" customHeight="1">
      <c r="B69" s="8" t="s">
        <v>34</v>
      </c>
      <c r="D69" s="22">
        <f>SUM(D18:D55)</f>
        <v>0</v>
      </c>
      <c r="G69" s="22">
        <f>SUM(G18:G55)</f>
        <v>0</v>
      </c>
      <c r="H69" s="41"/>
      <c r="I69" s="41"/>
    </row>
    <row r="72" spans="2:9">
      <c r="B72" s="8" t="s">
        <v>319</v>
      </c>
    </row>
    <row r="73" spans="2:9">
      <c r="B73" s="8" t="s">
        <v>549</v>
      </c>
      <c r="D73" s="113"/>
      <c r="G73" s="113"/>
      <c r="H73" s="41"/>
      <c r="I73" s="41"/>
    </row>
    <row r="75" spans="2:9" ht="13.5" thickBot="1"/>
    <row r="76" spans="2:9" ht="13.5" thickTop="1">
      <c r="B76" s="215" t="s">
        <v>766</v>
      </c>
      <c r="C76" s="216"/>
      <c r="D76" s="194" t="s">
        <v>16</v>
      </c>
      <c r="E76" s="195"/>
      <c r="F76" s="196"/>
      <c r="G76" s="197" t="s">
        <v>767</v>
      </c>
    </row>
    <row r="77" spans="2:9">
      <c r="B77" s="217"/>
      <c r="C77" s="218"/>
      <c r="D77" s="190"/>
      <c r="E77" s="223"/>
      <c r="F77" s="218"/>
      <c r="G77" s="191"/>
    </row>
    <row r="78" spans="2:9">
      <c r="B78" s="219"/>
      <c r="C78" s="220"/>
      <c r="D78" s="190"/>
      <c r="E78" s="224"/>
      <c r="F78" s="220"/>
      <c r="G78" s="191"/>
    </row>
    <row r="79" spans="2:9">
      <c r="B79" s="219"/>
      <c r="C79" s="220"/>
      <c r="D79" s="190"/>
      <c r="E79" s="224"/>
      <c r="F79" s="220"/>
      <c r="G79" s="191"/>
    </row>
    <row r="80" spans="2:9">
      <c r="B80" s="219"/>
      <c r="C80" s="220"/>
      <c r="D80" s="190"/>
      <c r="E80" s="224"/>
      <c r="F80" s="220"/>
      <c r="G80" s="191"/>
    </row>
    <row r="81" spans="2:7">
      <c r="B81" s="219"/>
      <c r="C81" s="220"/>
      <c r="D81" s="190"/>
      <c r="E81" s="224"/>
      <c r="F81" s="220"/>
      <c r="G81" s="191"/>
    </row>
    <row r="82" spans="2:7">
      <c r="B82" s="219"/>
      <c r="C82" s="220"/>
      <c r="D82" s="190"/>
      <c r="E82" s="224"/>
      <c r="F82" s="220"/>
      <c r="G82" s="191"/>
    </row>
    <row r="83" spans="2:7">
      <c r="B83" s="219"/>
      <c r="C83" s="220"/>
      <c r="D83" s="190"/>
      <c r="E83" s="224"/>
      <c r="F83" s="220"/>
      <c r="G83" s="191"/>
    </row>
    <row r="84" spans="2:7">
      <c r="B84" s="219"/>
      <c r="C84" s="220"/>
      <c r="D84" s="190"/>
      <c r="E84" s="224"/>
      <c r="F84" s="220"/>
      <c r="G84" s="191"/>
    </row>
    <row r="85" spans="2:7">
      <c r="B85" s="219"/>
      <c r="C85" s="220"/>
      <c r="D85" s="190"/>
      <c r="E85" s="224"/>
      <c r="F85" s="220"/>
      <c r="G85" s="191"/>
    </row>
    <row r="86" spans="2:7">
      <c r="B86" s="219"/>
      <c r="C86" s="220"/>
      <c r="D86" s="190"/>
      <c r="E86" s="224"/>
      <c r="F86" s="220"/>
      <c r="G86" s="191"/>
    </row>
    <row r="87" spans="2:7">
      <c r="B87" s="219"/>
      <c r="C87" s="220"/>
      <c r="D87" s="190"/>
      <c r="E87" s="224"/>
      <c r="F87" s="220"/>
      <c r="G87" s="191"/>
    </row>
    <row r="88" spans="2:7">
      <c r="B88" s="219"/>
      <c r="C88" s="220"/>
      <c r="D88" s="190"/>
      <c r="E88" s="224"/>
      <c r="F88" s="220"/>
      <c r="G88" s="191"/>
    </row>
    <row r="89" spans="2:7">
      <c r="B89" s="219"/>
      <c r="C89" s="220"/>
      <c r="D89" s="190"/>
      <c r="E89" s="224"/>
      <c r="F89" s="220"/>
      <c r="G89" s="191"/>
    </row>
    <row r="90" spans="2:7">
      <c r="B90" s="219"/>
      <c r="C90" s="220"/>
      <c r="D90" s="190"/>
      <c r="E90" s="224"/>
      <c r="F90" s="220"/>
      <c r="G90" s="191"/>
    </row>
    <row r="91" spans="2:7">
      <c r="B91" s="219"/>
      <c r="C91" s="220"/>
      <c r="D91" s="190"/>
      <c r="E91" s="224"/>
      <c r="F91" s="220"/>
      <c r="G91" s="191"/>
    </row>
    <row r="92" spans="2:7">
      <c r="B92" s="219"/>
      <c r="C92" s="220"/>
      <c r="D92" s="190"/>
      <c r="E92" s="224"/>
      <c r="F92" s="220"/>
      <c r="G92" s="191"/>
    </row>
    <row r="93" spans="2:7">
      <c r="B93" s="219"/>
      <c r="C93" s="220"/>
      <c r="D93" s="190"/>
      <c r="E93" s="224"/>
      <c r="F93" s="220"/>
      <c r="G93" s="191"/>
    </row>
    <row r="94" spans="2:7">
      <c r="B94" s="219"/>
      <c r="C94" s="220"/>
      <c r="D94" s="190"/>
      <c r="E94" s="224"/>
      <c r="F94" s="220"/>
      <c r="G94" s="191"/>
    </row>
    <row r="95" spans="2:7">
      <c r="B95" s="219"/>
      <c r="C95" s="220"/>
      <c r="D95" s="190"/>
      <c r="E95" s="224"/>
      <c r="F95" s="220"/>
      <c r="G95" s="191"/>
    </row>
    <row r="96" spans="2:7">
      <c r="B96" s="219"/>
      <c r="C96" s="220"/>
      <c r="D96" s="190"/>
      <c r="E96" s="224"/>
      <c r="F96" s="220"/>
      <c r="G96" s="191"/>
    </row>
    <row r="97" spans="2:7" ht="13.5" thickBot="1">
      <c r="B97" s="221"/>
      <c r="C97" s="222"/>
      <c r="D97" s="192"/>
      <c r="E97" s="225"/>
      <c r="F97" s="222"/>
      <c r="G97" s="193"/>
    </row>
    <row r="98" spans="2:7" ht="13.5" thickTop="1"/>
  </sheetData>
  <sheetProtection algorithmName="SHA-512" hashValue="GyXP9SGl81keu7hZ1prDibC4Sc6eL4Vza+25H8YfX3v34CKItD+3PKUiLpSEXkGOzr++0s2m+ZTQvsq+FzoNfw==" saltValue="Z6NQwuE0oZiZlCvJQIlXjQ==" spinCount="100000" sheet="1" selectLockedCells="1"/>
  <mergeCells count="43">
    <mergeCell ref="E96:F96"/>
    <mergeCell ref="E97:F97"/>
    <mergeCell ref="E91:F91"/>
    <mergeCell ref="E92:F92"/>
    <mergeCell ref="E93:F93"/>
    <mergeCell ref="E94:F94"/>
    <mergeCell ref="E95:F95"/>
    <mergeCell ref="B96:C96"/>
    <mergeCell ref="B97:C97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scale="71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2:L72"/>
  <sheetViews>
    <sheetView showGridLines="0" topLeftCell="A13" zoomScaleNormal="100" workbookViewId="0">
      <selection activeCell="I35" sqref="I35"/>
    </sheetView>
  </sheetViews>
  <sheetFormatPr defaultColWidth="8.5703125" defaultRowHeight="12.75"/>
  <cols>
    <col min="1" max="1" width="16.5703125" style="8" customWidth="1"/>
    <col min="2" max="2" width="3.42578125" style="8" customWidth="1"/>
    <col min="3" max="3" width="6.42578125" style="8" customWidth="1"/>
    <col min="4" max="5" width="8.5703125" style="8" customWidth="1"/>
    <col min="6" max="6" width="6.42578125" style="8" customWidth="1"/>
    <col min="7" max="8" width="7.5703125" style="8" customWidth="1"/>
    <col min="9" max="9" width="18.5703125" style="8" bestFit="1" customWidth="1"/>
    <col min="10" max="10" width="10.5703125" style="8" bestFit="1" customWidth="1"/>
    <col min="11" max="16384" width="8.5703125" style="8"/>
  </cols>
  <sheetData>
    <row r="2" spans="1:11">
      <c r="E2" s="93"/>
    </row>
    <row r="3" spans="1:11" ht="15">
      <c r="A3" s="28"/>
      <c r="B3" s="28"/>
      <c r="C3" s="28"/>
      <c r="D3" s="28"/>
      <c r="E3" s="30"/>
      <c r="F3" s="28"/>
      <c r="G3" s="28"/>
      <c r="H3" s="28"/>
      <c r="I3" s="28"/>
      <c r="J3" s="37" t="s">
        <v>535</v>
      </c>
      <c r="K3" s="28"/>
    </row>
    <row r="4" spans="1:11" ht="15">
      <c r="A4" s="71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5">
      <c r="A6" s="27" t="s">
        <v>320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1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ht="1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ht="15">
      <c r="A9" s="60" t="s">
        <v>503</v>
      </c>
      <c r="B9" s="28"/>
      <c r="C9" s="48" t="str">
        <f>'COVER PAGE'!C7</f>
        <v>SELECT INSTITUTION</v>
      </c>
      <c r="D9" s="28"/>
      <c r="E9" s="28"/>
      <c r="F9" s="28"/>
      <c r="G9" s="28"/>
      <c r="H9" s="28"/>
      <c r="I9" s="52" t="s">
        <v>498</v>
      </c>
      <c r="J9" s="50" t="str">
        <f>'COVER PAGE'!$F$9</f>
        <v>September</v>
      </c>
      <c r="K9" s="51">
        <f>'COVER PAGE'!$F$10</f>
        <v>45292</v>
      </c>
    </row>
    <row r="12" spans="1:11">
      <c r="A12" s="23" t="s">
        <v>321</v>
      </c>
      <c r="B12" s="23"/>
      <c r="D12" s="72" t="s">
        <v>322</v>
      </c>
      <c r="E12" s="36"/>
      <c r="G12" s="24"/>
      <c r="H12" s="36" t="s">
        <v>323</v>
      </c>
      <c r="I12" s="24"/>
      <c r="J12" s="24"/>
    </row>
    <row r="13" spans="1:11">
      <c r="A13" s="23" t="s">
        <v>324</v>
      </c>
      <c r="B13" s="23"/>
      <c r="D13" s="72" t="s">
        <v>325</v>
      </c>
      <c r="E13" s="36"/>
      <c r="G13" s="24"/>
      <c r="H13" s="36" t="s">
        <v>326</v>
      </c>
      <c r="I13" s="24"/>
      <c r="J13" s="24"/>
    </row>
    <row r="14" spans="1:11">
      <c r="A14" s="36" t="s">
        <v>327</v>
      </c>
      <c r="B14" s="36"/>
      <c r="D14" s="45" t="s">
        <v>328</v>
      </c>
      <c r="E14" s="36"/>
      <c r="F14" s="45" t="s">
        <v>329</v>
      </c>
      <c r="G14" s="24"/>
      <c r="H14" s="73" t="s">
        <v>38</v>
      </c>
      <c r="I14" s="24"/>
      <c r="J14" s="24"/>
    </row>
    <row r="17" spans="1:9">
      <c r="A17" s="24" t="s">
        <v>330</v>
      </c>
      <c r="B17" s="24"/>
      <c r="D17" s="113"/>
      <c r="I17" s="113"/>
    </row>
    <row r="18" spans="1:9">
      <c r="A18" s="24"/>
      <c r="B18" s="24"/>
    </row>
    <row r="19" spans="1:9">
      <c r="A19" s="24" t="s">
        <v>331</v>
      </c>
      <c r="B19" s="24"/>
      <c r="D19" s="113"/>
      <c r="I19" s="113"/>
    </row>
    <row r="20" spans="1:9">
      <c r="A20" s="24"/>
      <c r="B20" s="24"/>
    </row>
    <row r="21" spans="1:9">
      <c r="A21" s="24" t="s">
        <v>332</v>
      </c>
      <c r="B21" s="24"/>
      <c r="D21" s="113"/>
      <c r="I21" s="113"/>
    </row>
    <row r="22" spans="1:9">
      <c r="A22" s="24"/>
      <c r="B22" s="24"/>
    </row>
    <row r="23" spans="1:9">
      <c r="A23" s="74" t="s">
        <v>333</v>
      </c>
      <c r="B23" s="24"/>
      <c r="D23" s="113"/>
      <c r="I23" s="113"/>
    </row>
    <row r="24" spans="1:9">
      <c r="A24" s="74"/>
      <c r="B24" s="24"/>
    </row>
    <row r="25" spans="1:9">
      <c r="A25" s="24" t="s">
        <v>334</v>
      </c>
      <c r="B25" s="24"/>
      <c r="D25" s="113"/>
      <c r="I25" s="113"/>
    </row>
    <row r="26" spans="1:9">
      <c r="A26" s="24"/>
      <c r="B26" s="24"/>
    </row>
    <row r="27" spans="1:9">
      <c r="A27" s="24" t="s">
        <v>335</v>
      </c>
      <c r="B27" s="24"/>
      <c r="D27" s="113"/>
      <c r="I27" s="113"/>
    </row>
    <row r="28" spans="1:9">
      <c r="A28" s="24"/>
      <c r="B28" s="24"/>
    </row>
    <row r="29" spans="1:9">
      <c r="A29" s="24" t="s">
        <v>336</v>
      </c>
      <c r="B29" s="24"/>
      <c r="D29" s="113"/>
      <c r="I29" s="113"/>
    </row>
    <row r="30" spans="1:9">
      <c r="A30" s="24"/>
      <c r="B30" s="24"/>
    </row>
    <row r="31" spans="1:9">
      <c r="A31" s="24" t="s">
        <v>337</v>
      </c>
      <c r="B31" s="24"/>
      <c r="D31" s="113"/>
      <c r="I31" s="113"/>
    </row>
    <row r="32" spans="1:9">
      <c r="A32" s="24"/>
      <c r="B32" s="24"/>
    </row>
    <row r="33" spans="1:9">
      <c r="A33" s="24" t="s">
        <v>338</v>
      </c>
      <c r="B33" s="24"/>
      <c r="D33" s="113"/>
      <c r="I33" s="113"/>
    </row>
    <row r="34" spans="1:9">
      <c r="A34" s="24"/>
      <c r="B34" s="24"/>
    </row>
    <row r="35" spans="1:9">
      <c r="A35" s="24" t="s">
        <v>339</v>
      </c>
      <c r="B35" s="24"/>
      <c r="D35" s="113"/>
      <c r="I35" s="113"/>
    </row>
    <row r="36" spans="1:9">
      <c r="A36" s="24"/>
      <c r="B36" s="24"/>
    </row>
    <row r="37" spans="1:9">
      <c r="A37" s="24" t="s">
        <v>340</v>
      </c>
      <c r="B37" s="24"/>
      <c r="D37" s="113"/>
      <c r="I37" s="113"/>
    </row>
    <row r="38" spans="1:9">
      <c r="A38" s="24"/>
      <c r="B38" s="24"/>
    </row>
    <row r="39" spans="1:9">
      <c r="A39" s="24" t="s">
        <v>341</v>
      </c>
      <c r="B39" s="24"/>
      <c r="D39" s="113"/>
      <c r="I39" s="113"/>
    </row>
    <row r="40" spans="1:9">
      <c r="A40" s="24"/>
      <c r="B40" s="24"/>
    </row>
    <row r="41" spans="1:9">
      <c r="A41" s="24" t="s">
        <v>342</v>
      </c>
      <c r="B41" s="24"/>
      <c r="D41" s="113"/>
      <c r="I41" s="113"/>
    </row>
    <row r="42" spans="1:9">
      <c r="A42" s="24"/>
      <c r="B42" s="24"/>
    </row>
    <row r="43" spans="1:9">
      <c r="A43" s="24" t="s">
        <v>343</v>
      </c>
      <c r="B43" s="24"/>
      <c r="D43" s="113"/>
      <c r="I43" s="113"/>
    </row>
    <row r="44" spans="1:9">
      <c r="A44" s="24"/>
      <c r="B44" s="24"/>
    </row>
    <row r="45" spans="1:9">
      <c r="A45" s="24" t="s">
        <v>344</v>
      </c>
      <c r="B45" s="24"/>
      <c r="D45" s="113"/>
      <c r="I45" s="113"/>
    </row>
    <row r="46" spans="1:9">
      <c r="A46" s="24"/>
      <c r="B46" s="24"/>
    </row>
    <row r="47" spans="1:9">
      <c r="A47" s="24" t="s">
        <v>345</v>
      </c>
      <c r="B47" s="24"/>
      <c r="D47" s="113"/>
      <c r="I47" s="113"/>
    </row>
    <row r="48" spans="1:9">
      <c r="A48" s="24"/>
      <c r="B48" s="24"/>
    </row>
    <row r="49" spans="1:9" ht="12" customHeight="1">
      <c r="A49" s="24" t="s">
        <v>346</v>
      </c>
      <c r="B49" s="24"/>
      <c r="D49" s="113"/>
      <c r="I49" s="113"/>
    </row>
    <row r="50" spans="1:9" ht="12" customHeight="1">
      <c r="A50" s="24"/>
      <c r="B50" s="24"/>
    </row>
    <row r="51" spans="1:9">
      <c r="A51" s="24" t="s">
        <v>347</v>
      </c>
      <c r="B51" s="24"/>
      <c r="D51" s="113"/>
      <c r="I51" s="113"/>
    </row>
    <row r="52" spans="1:9">
      <c r="A52" s="24"/>
      <c r="B52" s="24"/>
    </row>
    <row r="53" spans="1:9">
      <c r="A53" s="24" t="s">
        <v>348</v>
      </c>
      <c r="B53" s="24"/>
      <c r="D53" s="113"/>
      <c r="I53" s="113"/>
    </row>
    <row r="54" spans="1:9">
      <c r="A54" s="24"/>
      <c r="B54" s="24"/>
    </row>
    <row r="55" spans="1:9">
      <c r="A55" s="24" t="s">
        <v>349</v>
      </c>
      <c r="B55" s="24"/>
      <c r="D55" s="113"/>
      <c r="I55" s="113"/>
    </row>
    <row r="56" spans="1:9">
      <c r="A56" s="24"/>
      <c r="B56" s="24"/>
    </row>
    <row r="57" spans="1:9">
      <c r="A57" s="24" t="s">
        <v>350</v>
      </c>
      <c r="B57" s="24"/>
      <c r="D57" s="113"/>
      <c r="I57" s="113"/>
    </row>
    <row r="58" spans="1:9">
      <c r="A58" s="24"/>
      <c r="B58" s="24"/>
    </row>
    <row r="59" spans="1:9">
      <c r="A59" s="24" t="s">
        <v>351</v>
      </c>
      <c r="B59" s="24"/>
      <c r="D59" s="113"/>
      <c r="I59" s="113"/>
    </row>
    <row r="60" spans="1:9">
      <c r="A60" s="24"/>
      <c r="B60" s="24"/>
    </row>
    <row r="61" spans="1:9">
      <c r="A61" s="24" t="s">
        <v>352</v>
      </c>
      <c r="B61" s="24"/>
      <c r="D61" s="113"/>
      <c r="I61" s="113"/>
    </row>
    <row r="62" spans="1:9">
      <c r="A62" s="24"/>
      <c r="B62" s="24"/>
    </row>
    <row r="63" spans="1:9">
      <c r="A63" s="24" t="s">
        <v>353</v>
      </c>
      <c r="B63" s="24"/>
      <c r="D63" s="113"/>
      <c r="I63" s="113"/>
    </row>
    <row r="64" spans="1:9">
      <c r="A64" s="24"/>
      <c r="B64" s="24"/>
    </row>
    <row r="65" spans="1:12">
      <c r="A65" s="24" t="s">
        <v>354</v>
      </c>
      <c r="B65" s="24"/>
      <c r="D65" s="113"/>
      <c r="I65" s="113"/>
    </row>
    <row r="66" spans="1:12">
      <c r="A66" s="24"/>
      <c r="B66" s="24"/>
      <c r="D66" s="13"/>
      <c r="E66" s="13"/>
      <c r="F66" s="13"/>
      <c r="G66" s="13"/>
      <c r="H66" s="13"/>
      <c r="I66" s="13"/>
    </row>
    <row r="67" spans="1:12">
      <c r="A67" s="24" t="s">
        <v>355</v>
      </c>
      <c r="B67" s="24"/>
    </row>
    <row r="68" spans="1:12">
      <c r="A68" s="24"/>
    </row>
    <row r="69" spans="1:12">
      <c r="A69" s="116"/>
      <c r="D69" s="113"/>
      <c r="I69" s="113"/>
    </row>
    <row r="70" spans="1:12">
      <c r="A70" s="24"/>
    </row>
    <row r="71" spans="1:12">
      <c r="A71" s="36" t="s">
        <v>34</v>
      </c>
      <c r="D71" s="22">
        <f>SUM(D16:D65)</f>
        <v>0</v>
      </c>
      <c r="I71" s="22">
        <f>SUM(I16:I65)</f>
        <v>0</v>
      </c>
    </row>
    <row r="72" spans="1:12">
      <c r="D72" s="13"/>
      <c r="E72" s="13"/>
      <c r="F72" s="13"/>
      <c r="G72" s="13"/>
      <c r="H72" s="13"/>
      <c r="I72" s="13"/>
      <c r="L72" s="8" t="s">
        <v>33</v>
      </c>
    </row>
  </sheetData>
  <sheetProtection algorithmName="SHA-512" hashValue="Y4+E1ojoU6kfzne1rRpWpnpUmC4ogFNdy7YhJlu0utxxdY+dYaEXxbOZH5heZSNb+379Hgdapw8hMp5T14wFHw==" saltValue="Y/tUHhX0wQXJd6l9JHFp0Q==" spinCount="100000" sheet="1" selectLockedCells="1"/>
  <pageMargins left="0.7" right="0.7" top="0.75" bottom="0.75" header="0.3" footer="0.3"/>
  <pageSetup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2:L73"/>
  <sheetViews>
    <sheetView showGridLines="0" topLeftCell="A34" zoomScaleNormal="100" workbookViewId="0">
      <selection activeCell="I71" sqref="I71"/>
    </sheetView>
  </sheetViews>
  <sheetFormatPr defaultColWidth="8.5703125" defaultRowHeight="12.75"/>
  <cols>
    <col min="1" max="1" width="16.5703125" style="8" customWidth="1"/>
    <col min="2" max="2" width="3.42578125" style="8" customWidth="1"/>
    <col min="3" max="3" width="3.5703125" style="8" customWidth="1"/>
    <col min="4" max="5" width="8.5703125" style="8" customWidth="1"/>
    <col min="6" max="6" width="6.42578125" style="8" customWidth="1"/>
    <col min="7" max="9" width="7.5703125" style="8" customWidth="1"/>
    <col min="10" max="10" width="8.5703125" style="8"/>
    <col min="11" max="11" width="10.5703125" style="8" bestFit="1" customWidth="1"/>
    <col min="12" max="16384" width="8.5703125" style="8"/>
  </cols>
  <sheetData>
    <row r="2" spans="1:12">
      <c r="E2" s="93"/>
    </row>
    <row r="3" spans="1:12">
      <c r="A3" s="24"/>
      <c r="B3" s="24"/>
      <c r="C3" s="24"/>
      <c r="D3" s="24"/>
      <c r="F3" s="24"/>
      <c r="G3" s="24"/>
      <c r="H3" s="24"/>
      <c r="I3" s="24"/>
      <c r="J3" s="42" t="s">
        <v>536</v>
      </c>
      <c r="K3" s="24"/>
    </row>
    <row r="4" spans="1:12" ht="15">
      <c r="A4" s="71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30"/>
    </row>
    <row r="5" spans="1:12" ht="1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30"/>
    </row>
    <row r="6" spans="1:12" ht="15">
      <c r="A6" s="27" t="s">
        <v>356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30"/>
    </row>
    <row r="7" spans="1:12" ht="1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30"/>
    </row>
    <row r="8" spans="1:12" ht="15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30"/>
    </row>
    <row r="9" spans="1:12" ht="1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30"/>
    </row>
    <row r="10" spans="1:12" ht="15">
      <c r="A10" s="28"/>
      <c r="B10" s="28"/>
      <c r="C10" s="28" t="s">
        <v>33</v>
      </c>
      <c r="D10" s="28"/>
      <c r="E10" s="28"/>
      <c r="F10" s="28"/>
      <c r="G10" s="28"/>
      <c r="H10" s="28"/>
      <c r="I10" s="28"/>
      <c r="J10" s="28"/>
      <c r="K10" s="28"/>
      <c r="L10" s="30"/>
    </row>
    <row r="11" spans="1:12" ht="15">
      <c r="A11" s="60" t="s">
        <v>504</v>
      </c>
      <c r="B11" s="28"/>
      <c r="C11" s="48" t="str">
        <f>'COVER PAGE'!C7</f>
        <v>SELECT INSTITUTION</v>
      </c>
      <c r="D11" s="28"/>
      <c r="E11" s="28"/>
      <c r="F11" s="28"/>
      <c r="G11" s="28"/>
      <c r="H11" s="28" t="s">
        <v>500</v>
      </c>
      <c r="I11" s="28"/>
      <c r="J11" s="28"/>
      <c r="K11" s="50" t="str">
        <f>'COVER PAGE'!$F$9</f>
        <v>September</v>
      </c>
      <c r="L11" s="51">
        <f>'COVER PAGE'!$F$10</f>
        <v>45292</v>
      </c>
    </row>
    <row r="14" spans="1:12">
      <c r="A14" s="23" t="s">
        <v>321</v>
      </c>
      <c r="B14" s="23"/>
      <c r="E14" s="23" t="s">
        <v>322</v>
      </c>
      <c r="H14" s="36" t="s">
        <v>323</v>
      </c>
      <c r="I14" s="24"/>
      <c r="J14" s="24"/>
    </row>
    <row r="15" spans="1:12">
      <c r="A15" s="23" t="s">
        <v>324</v>
      </c>
      <c r="B15" s="23"/>
      <c r="E15" s="23" t="s">
        <v>325</v>
      </c>
      <c r="H15" s="36" t="s">
        <v>326</v>
      </c>
      <c r="I15" s="24"/>
      <c r="J15" s="24"/>
    </row>
    <row r="16" spans="1:12">
      <c r="A16" s="36" t="s">
        <v>327</v>
      </c>
      <c r="B16" s="36"/>
      <c r="E16" s="36" t="s">
        <v>328</v>
      </c>
      <c r="H16" s="73" t="s">
        <v>38</v>
      </c>
      <c r="I16" s="24"/>
      <c r="J16" s="24"/>
    </row>
    <row r="19" spans="1:9">
      <c r="A19" s="24" t="s">
        <v>330</v>
      </c>
      <c r="B19" s="24"/>
      <c r="E19" s="113"/>
      <c r="I19" s="113"/>
    </row>
    <row r="20" spans="1:9">
      <c r="A20" s="24"/>
      <c r="B20" s="24"/>
    </row>
    <row r="21" spans="1:9">
      <c r="A21" s="24" t="s">
        <v>357</v>
      </c>
      <c r="B21" s="24"/>
      <c r="E21" s="113"/>
      <c r="I21" s="113"/>
    </row>
    <row r="22" spans="1:9">
      <c r="A22" s="24"/>
      <c r="B22" s="24"/>
    </row>
    <row r="23" spans="1:9">
      <c r="A23" s="24" t="s">
        <v>332</v>
      </c>
      <c r="B23" s="24"/>
      <c r="E23" s="113"/>
      <c r="I23" s="113"/>
    </row>
    <row r="24" spans="1:9">
      <c r="A24" s="24"/>
      <c r="B24" s="24"/>
    </row>
    <row r="25" spans="1:9">
      <c r="A25" s="74" t="s">
        <v>333</v>
      </c>
      <c r="B25" s="24"/>
      <c r="E25" s="113"/>
      <c r="I25" s="113"/>
    </row>
    <row r="26" spans="1:9">
      <c r="A26" s="74"/>
      <c r="B26" s="24"/>
    </row>
    <row r="27" spans="1:9">
      <c r="A27" s="24" t="s">
        <v>334</v>
      </c>
      <c r="B27" s="24"/>
      <c r="E27" s="113"/>
      <c r="I27" s="113"/>
    </row>
    <row r="28" spans="1:9">
      <c r="A28" s="24"/>
      <c r="B28" s="24"/>
    </row>
    <row r="29" spans="1:9">
      <c r="A29" s="24" t="s">
        <v>335</v>
      </c>
      <c r="B29" s="24"/>
      <c r="E29" s="113"/>
      <c r="I29" s="113"/>
    </row>
    <row r="30" spans="1:9">
      <c r="A30" s="24"/>
      <c r="B30" s="24"/>
    </row>
    <row r="31" spans="1:9">
      <c r="A31" s="24" t="s">
        <v>336</v>
      </c>
      <c r="B31" s="24"/>
      <c r="E31" s="113"/>
      <c r="I31" s="113"/>
    </row>
    <row r="32" spans="1:9">
      <c r="A32" s="24"/>
      <c r="B32" s="24"/>
      <c r="E32" s="13"/>
      <c r="F32" s="13"/>
      <c r="G32" s="13"/>
      <c r="H32" s="13"/>
      <c r="I32" s="13"/>
    </row>
    <row r="33" spans="1:9">
      <c r="A33" s="24" t="s">
        <v>337</v>
      </c>
      <c r="B33" s="24"/>
      <c r="E33" s="113"/>
      <c r="I33" s="113"/>
    </row>
    <row r="34" spans="1:9">
      <c r="A34" s="24"/>
      <c r="B34" s="24"/>
    </row>
    <row r="35" spans="1:9">
      <c r="A35" s="24" t="s">
        <v>338</v>
      </c>
      <c r="B35" s="24"/>
      <c r="E35" s="113"/>
      <c r="I35" s="113"/>
    </row>
    <row r="36" spans="1:9">
      <c r="A36" s="24"/>
      <c r="B36" s="24"/>
    </row>
    <row r="37" spans="1:9">
      <c r="A37" s="24" t="s">
        <v>339</v>
      </c>
      <c r="B37" s="24"/>
      <c r="E37" s="113"/>
      <c r="I37" s="113"/>
    </row>
    <row r="38" spans="1:9">
      <c r="A38" s="24"/>
      <c r="B38" s="24"/>
    </row>
    <row r="39" spans="1:9">
      <c r="A39" s="24" t="s">
        <v>340</v>
      </c>
      <c r="B39" s="24"/>
      <c r="E39" s="113"/>
      <c r="I39" s="113"/>
    </row>
    <row r="40" spans="1:9">
      <c r="A40" s="24"/>
      <c r="B40" s="24"/>
    </row>
    <row r="41" spans="1:9">
      <c r="A41" s="24" t="s">
        <v>341</v>
      </c>
      <c r="B41" s="24"/>
      <c r="E41" s="113"/>
      <c r="I41" s="113"/>
    </row>
    <row r="42" spans="1:9">
      <c r="A42" s="24"/>
      <c r="B42" s="24"/>
    </row>
    <row r="43" spans="1:9">
      <c r="A43" s="24" t="s">
        <v>342</v>
      </c>
      <c r="B43" s="24"/>
      <c r="E43" s="113"/>
      <c r="I43" s="113"/>
    </row>
    <row r="44" spans="1:9">
      <c r="A44" s="24"/>
      <c r="B44" s="24"/>
    </row>
    <row r="45" spans="1:9">
      <c r="A45" s="24" t="s">
        <v>343</v>
      </c>
      <c r="B45" s="24"/>
      <c r="E45" s="113"/>
      <c r="I45" s="113"/>
    </row>
    <row r="46" spans="1:9">
      <c r="A46" s="24"/>
      <c r="B46" s="24"/>
    </row>
    <row r="47" spans="1:9">
      <c r="A47" s="24" t="s">
        <v>344</v>
      </c>
      <c r="B47" s="24"/>
      <c r="E47" s="113"/>
      <c r="I47" s="113"/>
    </row>
    <row r="48" spans="1:9">
      <c r="A48" s="24"/>
      <c r="B48" s="24"/>
    </row>
    <row r="49" spans="1:9">
      <c r="A49" s="24" t="s">
        <v>345</v>
      </c>
      <c r="B49" s="24"/>
      <c r="E49" s="113"/>
      <c r="I49" s="113"/>
    </row>
    <row r="50" spans="1:9">
      <c r="A50" s="24"/>
      <c r="B50" s="24"/>
    </row>
    <row r="51" spans="1:9">
      <c r="A51" s="24" t="s">
        <v>346</v>
      </c>
      <c r="B51" s="24"/>
      <c r="E51" s="113"/>
      <c r="I51" s="113"/>
    </row>
    <row r="52" spans="1:9">
      <c r="A52" s="24"/>
      <c r="B52" s="24"/>
    </row>
    <row r="53" spans="1:9" ht="12" customHeight="1">
      <c r="A53" s="24" t="s">
        <v>347</v>
      </c>
      <c r="B53" s="24"/>
      <c r="E53" s="113"/>
      <c r="I53" s="113"/>
    </row>
    <row r="54" spans="1:9" ht="12" customHeight="1">
      <c r="A54" s="24"/>
      <c r="B54" s="24"/>
    </row>
    <row r="55" spans="1:9">
      <c r="A55" s="24" t="s">
        <v>348</v>
      </c>
      <c r="B55" s="24"/>
      <c r="E55" s="113"/>
      <c r="I55" s="113"/>
    </row>
    <row r="56" spans="1:9">
      <c r="A56" s="24"/>
      <c r="B56" s="24"/>
    </row>
    <row r="57" spans="1:9">
      <c r="A57" s="24" t="s">
        <v>349</v>
      </c>
      <c r="B57" s="24"/>
      <c r="E57" s="113"/>
      <c r="I57" s="113"/>
    </row>
    <row r="58" spans="1:9">
      <c r="A58" s="24"/>
      <c r="B58" s="24"/>
    </row>
    <row r="59" spans="1:9">
      <c r="A59" s="24" t="s">
        <v>358</v>
      </c>
      <c r="B59" s="24"/>
      <c r="E59" s="113"/>
      <c r="I59" s="113"/>
    </row>
    <row r="60" spans="1:9">
      <c r="A60" s="24"/>
      <c r="B60" s="24"/>
    </row>
    <row r="61" spans="1:9">
      <c r="A61" s="24" t="s">
        <v>351</v>
      </c>
      <c r="B61" s="24"/>
      <c r="E61" s="113"/>
      <c r="I61" s="113"/>
    </row>
    <row r="62" spans="1:9">
      <c r="A62" s="24"/>
      <c r="B62" s="24"/>
    </row>
    <row r="63" spans="1:9">
      <c r="A63" s="24" t="s">
        <v>352</v>
      </c>
      <c r="B63" s="24"/>
      <c r="E63" s="113"/>
      <c r="I63" s="113"/>
    </row>
    <row r="64" spans="1:9">
      <c r="A64" s="24"/>
      <c r="B64" s="24"/>
    </row>
    <row r="65" spans="1:9">
      <c r="A65" s="24" t="s">
        <v>353</v>
      </c>
      <c r="B65" s="24"/>
      <c r="E65" s="113"/>
      <c r="I65" s="113"/>
    </row>
    <row r="66" spans="1:9">
      <c r="A66" s="24"/>
      <c r="B66" s="24"/>
    </row>
    <row r="67" spans="1:9">
      <c r="A67" s="24" t="s">
        <v>354</v>
      </c>
      <c r="B67" s="24"/>
      <c r="E67" s="113"/>
      <c r="I67" s="113"/>
    </row>
    <row r="68" spans="1:9">
      <c r="A68" s="24"/>
      <c r="B68" s="24"/>
    </row>
    <row r="69" spans="1:9">
      <c r="A69" s="24" t="s">
        <v>355</v>
      </c>
      <c r="B69" s="24"/>
    </row>
    <row r="70" spans="1:9">
      <c r="A70" s="24"/>
      <c r="B70" s="24"/>
    </row>
    <row r="71" spans="1:9">
      <c r="A71" s="116"/>
      <c r="B71" s="24"/>
      <c r="E71" s="113"/>
      <c r="I71" s="113"/>
    </row>
    <row r="72" spans="1:9">
      <c r="A72" s="75"/>
      <c r="B72" s="24"/>
      <c r="E72" s="13"/>
      <c r="F72" s="13"/>
      <c r="G72" s="13"/>
      <c r="H72" s="13"/>
      <c r="I72" s="13"/>
    </row>
    <row r="73" spans="1:9">
      <c r="A73" s="36" t="s">
        <v>34</v>
      </c>
      <c r="B73" s="24"/>
      <c r="E73" s="22">
        <f>SUM(E19:E67)</f>
        <v>0</v>
      </c>
      <c r="I73" s="22">
        <f>SUM(I19:I67)</f>
        <v>0</v>
      </c>
    </row>
  </sheetData>
  <sheetProtection algorithmName="SHA-512" hashValue="CLQq4S4kTjoDqUbdcPGJZkBxecOdcwUUEF3ocLYsaJZzCRM7/BjUDTIZusKJk4ZdqkHRMwSP1jhEvnuV1eiw9w==" saltValue="Zx61rxa9LwcEIHm3zwJmBQ==" spinCount="100000" sheet="1" selectLockedCells="1"/>
  <pageMargins left="0.7" right="0.7" top="0.75" bottom="0.75" header="0.3" footer="0.3"/>
  <pageSetup scale="7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2:J56"/>
  <sheetViews>
    <sheetView showGridLines="0" topLeftCell="A22" zoomScaleNormal="100" workbookViewId="0">
      <selection activeCell="D53" sqref="D53"/>
    </sheetView>
  </sheetViews>
  <sheetFormatPr defaultColWidth="8.5703125" defaultRowHeight="12.75"/>
  <cols>
    <col min="1" max="1" width="16.5703125" style="37" customWidth="1"/>
    <col min="2" max="2" width="8.5703125" style="8" customWidth="1"/>
    <col min="3" max="3" width="5.5703125" style="8" customWidth="1"/>
    <col min="4" max="5" width="8.5703125" style="8" customWidth="1"/>
    <col min="6" max="6" width="6.42578125" style="8" customWidth="1"/>
    <col min="7" max="8" width="8.5703125" style="8" customWidth="1"/>
    <col min="9" max="9" width="11.42578125" style="8" customWidth="1"/>
    <col min="10" max="10" width="8.5703125" style="8" customWidth="1"/>
    <col min="11" max="51" width="9.42578125" style="8" customWidth="1"/>
    <col min="52" max="16384" width="8.5703125" style="8"/>
  </cols>
  <sheetData>
    <row r="2" spans="1:10">
      <c r="E2" s="93"/>
    </row>
    <row r="3" spans="1:10">
      <c r="A3" s="24"/>
      <c r="B3" s="24"/>
      <c r="C3" s="24"/>
      <c r="D3" s="24"/>
      <c r="F3" s="24"/>
      <c r="G3" s="24"/>
      <c r="H3" s="24"/>
      <c r="I3" s="24"/>
      <c r="J3" s="43" t="s">
        <v>537</v>
      </c>
    </row>
    <row r="4" spans="1:10" ht="15">
      <c r="A4" s="71" t="s">
        <v>0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5">
      <c r="A6" s="27" t="s">
        <v>359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15">
      <c r="A7" s="27"/>
      <c r="B7" s="28"/>
      <c r="C7" s="28"/>
      <c r="D7" s="28"/>
      <c r="E7" s="28"/>
      <c r="F7" s="28"/>
      <c r="G7" s="28"/>
      <c r="H7" s="28"/>
      <c r="I7" s="28"/>
      <c r="J7" s="28"/>
    </row>
    <row r="8" spans="1:10" ht="15">
      <c r="A8" s="27" t="s">
        <v>360</v>
      </c>
      <c r="B8" s="28"/>
      <c r="C8" s="28"/>
      <c r="D8" s="28"/>
      <c r="E8" s="28"/>
      <c r="F8" s="28"/>
      <c r="G8" s="28"/>
      <c r="H8" s="28"/>
      <c r="I8" s="28"/>
      <c r="J8" s="28"/>
    </row>
    <row r="9" spans="1:10" ht="15">
      <c r="A9" s="48"/>
      <c r="B9" s="28"/>
      <c r="C9" s="28"/>
      <c r="D9" s="28"/>
      <c r="E9" s="28"/>
      <c r="F9" s="28"/>
      <c r="G9" s="28"/>
      <c r="H9" s="28"/>
      <c r="I9" s="28"/>
      <c r="J9" s="28"/>
    </row>
    <row r="10" spans="1:10" ht="15">
      <c r="A10" s="48"/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15">
      <c r="A11" s="66" t="s">
        <v>505</v>
      </c>
      <c r="B11" s="48" t="str">
        <f>'COVER PAGE'!C7</f>
        <v>SELECT INSTITUTION</v>
      </c>
      <c r="C11" s="28"/>
      <c r="D11" s="28"/>
      <c r="E11" s="28"/>
      <c r="F11" s="28"/>
      <c r="G11" s="48" t="s">
        <v>498</v>
      </c>
      <c r="H11" s="28"/>
      <c r="I11" s="50" t="str">
        <f>'COVER PAGE'!$F$9</f>
        <v>September</v>
      </c>
      <c r="J11" s="51">
        <f>'COVER PAGE'!$F$10</f>
        <v>45292</v>
      </c>
    </row>
    <row r="14" spans="1:10">
      <c r="A14" s="23" t="s">
        <v>361</v>
      </c>
      <c r="B14" s="23"/>
      <c r="D14" s="72" t="s">
        <v>322</v>
      </c>
      <c r="E14" s="36"/>
      <c r="H14" s="72" t="s">
        <v>362</v>
      </c>
      <c r="I14" s="24"/>
      <c r="J14" s="24"/>
    </row>
    <row r="15" spans="1:10">
      <c r="A15" s="23" t="s">
        <v>363</v>
      </c>
      <c r="B15" s="23"/>
      <c r="D15" s="72" t="s">
        <v>364</v>
      </c>
      <c r="E15" s="36"/>
      <c r="H15" s="72" t="s">
        <v>364</v>
      </c>
      <c r="I15" s="24"/>
      <c r="J15" s="24"/>
    </row>
    <row r="16" spans="1:10">
      <c r="A16" s="36"/>
      <c r="B16" s="36"/>
      <c r="D16" s="45" t="s">
        <v>328</v>
      </c>
      <c r="E16" s="36"/>
      <c r="H16" s="76" t="s">
        <v>38</v>
      </c>
      <c r="I16" s="24"/>
      <c r="J16" s="24"/>
    </row>
    <row r="17" spans="1:8">
      <c r="A17" s="24"/>
    </row>
    <row r="18" spans="1:8">
      <c r="A18" s="24"/>
    </row>
    <row r="19" spans="1:8">
      <c r="A19" s="24" t="s">
        <v>365</v>
      </c>
      <c r="B19" s="24"/>
      <c r="D19" s="113"/>
      <c r="H19" s="113"/>
    </row>
    <row r="20" spans="1:8">
      <c r="A20" s="24"/>
      <c r="B20" s="24"/>
      <c r="D20" s="13"/>
      <c r="H20" s="13"/>
    </row>
    <row r="21" spans="1:8">
      <c r="A21" s="24" t="s">
        <v>366</v>
      </c>
      <c r="B21" s="24"/>
      <c r="D21" s="113"/>
      <c r="H21" s="113"/>
    </row>
    <row r="22" spans="1:8">
      <c r="A22" s="24"/>
      <c r="B22" s="24"/>
    </row>
    <row r="23" spans="1:8">
      <c r="A23" s="24" t="s">
        <v>367</v>
      </c>
      <c r="B23" s="24"/>
      <c r="D23" s="113"/>
      <c r="H23" s="113"/>
    </row>
    <row r="24" spans="1:8">
      <c r="A24" s="24"/>
      <c r="B24" s="24"/>
    </row>
    <row r="25" spans="1:8">
      <c r="A25" s="24" t="s">
        <v>368</v>
      </c>
      <c r="B25" s="24"/>
      <c r="D25" s="113"/>
      <c r="H25" s="113"/>
    </row>
    <row r="26" spans="1:8">
      <c r="A26" s="74"/>
      <c r="B26" s="24"/>
    </row>
    <row r="27" spans="1:8">
      <c r="A27" s="24" t="s">
        <v>369</v>
      </c>
      <c r="B27" s="24"/>
      <c r="D27" s="113"/>
      <c r="H27" s="113"/>
    </row>
    <row r="28" spans="1:8">
      <c r="A28" s="24"/>
      <c r="B28" s="24"/>
    </row>
    <row r="29" spans="1:8">
      <c r="A29" s="24" t="s">
        <v>370</v>
      </c>
      <c r="B29" s="24"/>
      <c r="D29" s="113"/>
      <c r="H29" s="113"/>
    </row>
    <row r="30" spans="1:8">
      <c r="A30" s="24"/>
      <c r="B30" s="24"/>
    </row>
    <row r="31" spans="1:8">
      <c r="A31" s="24" t="s">
        <v>371</v>
      </c>
      <c r="B31" s="24"/>
      <c r="D31" s="113"/>
      <c r="H31" s="113"/>
    </row>
    <row r="32" spans="1:8">
      <c r="A32" s="24"/>
      <c r="B32" s="24"/>
    </row>
    <row r="33" spans="1:8">
      <c r="A33" s="24" t="s">
        <v>372</v>
      </c>
      <c r="B33" s="24"/>
      <c r="D33" s="113"/>
      <c r="H33" s="113"/>
    </row>
    <row r="34" spans="1:8">
      <c r="A34" s="24"/>
      <c r="B34" s="24"/>
    </row>
    <row r="35" spans="1:8">
      <c r="A35" s="24" t="s">
        <v>373</v>
      </c>
      <c r="B35" s="24"/>
      <c r="D35" s="113"/>
      <c r="H35" s="113"/>
    </row>
    <row r="36" spans="1:8">
      <c r="A36" s="24"/>
      <c r="B36" s="24"/>
    </row>
    <row r="37" spans="1:8">
      <c r="A37" s="24" t="s">
        <v>374</v>
      </c>
      <c r="B37" s="24"/>
      <c r="D37" s="113"/>
      <c r="H37" s="113"/>
    </row>
    <row r="38" spans="1:8">
      <c r="A38" s="24"/>
      <c r="B38" s="24"/>
    </row>
    <row r="39" spans="1:8">
      <c r="A39" s="24" t="s">
        <v>375</v>
      </c>
      <c r="B39" s="24"/>
      <c r="D39" s="113"/>
      <c r="H39" s="113"/>
    </row>
    <row r="40" spans="1:8">
      <c r="A40" s="24"/>
      <c r="B40" s="24"/>
    </row>
    <row r="41" spans="1:8">
      <c r="A41" s="24" t="s">
        <v>376</v>
      </c>
      <c r="B41" s="24"/>
      <c r="D41" s="113"/>
      <c r="H41" s="113"/>
    </row>
    <row r="42" spans="1:8">
      <c r="A42" s="24"/>
      <c r="B42" s="24"/>
    </row>
    <row r="43" spans="1:8">
      <c r="A43" s="24" t="s">
        <v>377</v>
      </c>
      <c r="B43" s="24"/>
      <c r="D43" s="113"/>
      <c r="H43" s="113"/>
    </row>
    <row r="44" spans="1:8">
      <c r="A44" s="24"/>
      <c r="B44" s="24"/>
    </row>
    <row r="45" spans="1:8">
      <c r="A45" s="24" t="s">
        <v>378</v>
      </c>
      <c r="B45" s="24"/>
      <c r="D45" s="113"/>
      <c r="H45" s="113"/>
    </row>
    <row r="46" spans="1:8">
      <c r="A46" s="24"/>
      <c r="B46" s="24"/>
    </row>
    <row r="47" spans="1:8">
      <c r="A47" s="24" t="s">
        <v>379</v>
      </c>
      <c r="B47" s="24"/>
      <c r="D47" s="113"/>
      <c r="H47" s="113"/>
    </row>
    <row r="48" spans="1:8">
      <c r="A48" s="24"/>
      <c r="B48" s="24"/>
    </row>
    <row r="49" spans="1:10">
      <c r="A49" s="24" t="s">
        <v>380</v>
      </c>
      <c r="B49" s="24"/>
      <c r="D49" s="13"/>
      <c r="H49" s="13"/>
    </row>
    <row r="50" spans="1:10">
      <c r="A50" s="24"/>
      <c r="B50" s="24"/>
    </row>
    <row r="51" spans="1:10">
      <c r="A51" s="170"/>
      <c r="B51" s="24"/>
      <c r="D51" s="113"/>
      <c r="H51" s="113"/>
    </row>
    <row r="52" spans="1:10">
      <c r="A52" s="24"/>
      <c r="B52" s="24"/>
    </row>
    <row r="53" spans="1:10" ht="12" customHeight="1">
      <c r="A53" s="24" t="s">
        <v>381</v>
      </c>
      <c r="B53" s="24"/>
      <c r="D53" s="113"/>
      <c r="H53" s="113"/>
    </row>
    <row r="54" spans="1:10" ht="12" customHeight="1">
      <c r="A54" s="24"/>
      <c r="B54" s="24"/>
    </row>
    <row r="55" spans="1:10">
      <c r="A55" s="36" t="s">
        <v>34</v>
      </c>
      <c r="B55" s="24"/>
      <c r="D55" s="22">
        <f>SUM(D19:D47)</f>
        <v>0</v>
      </c>
      <c r="H55" s="22">
        <f>SUM(H19:H47)</f>
        <v>0</v>
      </c>
      <c r="I55" s="41"/>
      <c r="J55" s="41"/>
    </row>
    <row r="56" spans="1:10">
      <c r="A56" s="24"/>
    </row>
  </sheetData>
  <sheetProtection algorithmName="SHA-512" hashValue="3xfZYiKwQLYMnlQkcesHoNPs3j+tNJhQvY+uJ1K2bQyWf1DDd6ZIGFuoIu69v0CkQqLhXJ7vPvjfpk9IO+wFCg==" saltValue="Fvvnlui1mCFi3yaraceTQg==" spinCount="100000" sheet="1" selectLockedCells="1"/>
  <pageMargins left="0.7" right="0.7" top="0.75" bottom="0.75" header="0.3" footer="0.3"/>
  <pageSetup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2:J53"/>
  <sheetViews>
    <sheetView showGridLines="0" topLeftCell="A6" zoomScaleNormal="100" workbookViewId="0">
      <selection activeCell="H19" sqref="H19"/>
    </sheetView>
  </sheetViews>
  <sheetFormatPr defaultColWidth="8.5703125" defaultRowHeight="12.75"/>
  <cols>
    <col min="1" max="1" width="16.5703125" style="8" customWidth="1"/>
    <col min="2" max="2" width="5.42578125" style="8" customWidth="1"/>
    <col min="3" max="3" width="5.5703125" style="8" customWidth="1"/>
    <col min="4" max="4" width="8.5703125" style="8" customWidth="1"/>
    <col min="5" max="5" width="9.42578125" style="8" customWidth="1"/>
    <col min="6" max="8" width="8.5703125" style="8"/>
    <col min="9" max="9" width="10.5703125" style="8" bestFit="1" customWidth="1"/>
    <col min="10" max="16384" width="8.5703125" style="8"/>
  </cols>
  <sheetData>
    <row r="2" spans="1:10">
      <c r="F2" s="83"/>
    </row>
    <row r="3" spans="1:10">
      <c r="A3" s="24"/>
      <c r="B3" s="24"/>
      <c r="C3" s="24"/>
      <c r="D3" s="24"/>
      <c r="F3" s="24"/>
      <c r="G3" s="24"/>
      <c r="H3" s="24"/>
      <c r="I3" s="37" t="s">
        <v>538</v>
      </c>
    </row>
    <row r="4" spans="1:10" ht="15">
      <c r="A4" s="71" t="s">
        <v>0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5">
      <c r="A6" s="27" t="s">
        <v>382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15">
      <c r="A7" s="28"/>
      <c r="B7" s="28"/>
      <c r="C7" s="28"/>
      <c r="D7" s="28"/>
      <c r="E7" s="28"/>
      <c r="F7" s="28"/>
      <c r="G7" s="28"/>
      <c r="H7" s="28"/>
      <c r="I7" s="28"/>
      <c r="J7" s="28"/>
    </row>
    <row r="8" spans="1:10" ht="15">
      <c r="A8" s="28"/>
      <c r="B8" s="28"/>
      <c r="C8" s="28"/>
      <c r="D8" s="28"/>
      <c r="E8" s="28"/>
      <c r="F8" s="28"/>
      <c r="G8" s="28"/>
      <c r="H8" s="28"/>
      <c r="I8" s="28"/>
      <c r="J8" s="28"/>
    </row>
    <row r="9" spans="1:10" ht="15">
      <c r="A9" s="66" t="s">
        <v>506</v>
      </c>
      <c r="B9" s="48" t="str">
        <f>'COVER PAGE'!C7</f>
        <v>SELECT INSTITUTION</v>
      </c>
      <c r="C9" s="28"/>
      <c r="D9" s="28"/>
      <c r="E9" s="28"/>
      <c r="F9" s="28"/>
      <c r="G9" s="48" t="s">
        <v>501</v>
      </c>
      <c r="H9" s="28"/>
      <c r="I9" s="50" t="str">
        <f>'COVER PAGE'!$F$9</f>
        <v>September</v>
      </c>
      <c r="J9" s="51">
        <f>'COVER PAGE'!$F$10</f>
        <v>45292</v>
      </c>
    </row>
    <row r="12" spans="1:10">
      <c r="A12" s="72" t="s">
        <v>321</v>
      </c>
      <c r="B12" s="23"/>
      <c r="E12" s="23" t="s">
        <v>322</v>
      </c>
      <c r="H12" s="45" t="s">
        <v>323</v>
      </c>
      <c r="I12" s="24"/>
      <c r="J12" s="24"/>
    </row>
    <row r="13" spans="1:10">
      <c r="A13" s="72" t="s">
        <v>383</v>
      </c>
      <c r="B13" s="23"/>
      <c r="E13" s="23" t="s">
        <v>384</v>
      </c>
      <c r="H13" s="45" t="s">
        <v>326</v>
      </c>
      <c r="I13" s="24"/>
      <c r="J13" s="24"/>
    </row>
    <row r="14" spans="1:10">
      <c r="A14" s="45" t="s">
        <v>327</v>
      </c>
      <c r="B14" s="36"/>
      <c r="E14" s="36" t="s">
        <v>328</v>
      </c>
      <c r="H14" s="76" t="s">
        <v>38</v>
      </c>
      <c r="I14" s="24"/>
      <c r="J14" s="24"/>
    </row>
    <row r="15" spans="1:10">
      <c r="A15" s="38"/>
    </row>
    <row r="16" spans="1:10">
      <c r="A16" s="38"/>
    </row>
    <row r="17" spans="1:8">
      <c r="A17" s="38" t="s">
        <v>330</v>
      </c>
      <c r="B17" s="24"/>
      <c r="E17" s="113"/>
      <c r="H17" s="113"/>
    </row>
    <row r="18" spans="1:8">
      <c r="A18" s="38"/>
      <c r="B18" s="24"/>
    </row>
    <row r="19" spans="1:8">
      <c r="A19" s="59" t="s">
        <v>357</v>
      </c>
      <c r="B19" s="24"/>
      <c r="E19" s="113"/>
      <c r="H19" s="113"/>
    </row>
    <row r="20" spans="1:8">
      <c r="A20" s="38"/>
      <c r="B20" s="24"/>
    </row>
    <row r="21" spans="1:8">
      <c r="A21" s="38" t="s">
        <v>332</v>
      </c>
      <c r="B21" s="24"/>
      <c r="E21" s="113"/>
      <c r="H21" s="113"/>
    </row>
    <row r="22" spans="1:8">
      <c r="A22" s="38"/>
      <c r="B22" s="24"/>
    </row>
    <row r="23" spans="1:8">
      <c r="A23" s="77" t="s">
        <v>333</v>
      </c>
      <c r="B23" s="24"/>
      <c r="E23" s="113"/>
      <c r="H23" s="113"/>
    </row>
    <row r="24" spans="1:8">
      <c r="A24" s="77"/>
      <c r="B24" s="24"/>
    </row>
    <row r="25" spans="1:8">
      <c r="A25" s="38" t="s">
        <v>334</v>
      </c>
      <c r="B25" s="24"/>
      <c r="E25" s="113"/>
      <c r="H25" s="113"/>
    </row>
    <row r="26" spans="1:8">
      <c r="A26" s="38"/>
      <c r="B26" s="24"/>
    </row>
    <row r="27" spans="1:8">
      <c r="A27" s="38" t="s">
        <v>335</v>
      </c>
      <c r="B27" s="24"/>
      <c r="E27" s="113"/>
      <c r="H27" s="113"/>
    </row>
    <row r="28" spans="1:8">
      <c r="A28" s="38"/>
      <c r="B28" s="24"/>
    </row>
    <row r="29" spans="1:8">
      <c r="A29" s="38" t="s">
        <v>336</v>
      </c>
      <c r="B29" s="24"/>
      <c r="E29" s="113"/>
      <c r="H29" s="113"/>
    </row>
    <row r="30" spans="1:8">
      <c r="A30" s="38"/>
      <c r="B30" s="24"/>
    </row>
    <row r="31" spans="1:8">
      <c r="A31" s="38" t="s">
        <v>337</v>
      </c>
      <c r="B31" s="24"/>
      <c r="E31" s="113"/>
      <c r="H31" s="113"/>
    </row>
    <row r="32" spans="1:8">
      <c r="A32" s="38"/>
      <c r="B32" s="24"/>
    </row>
    <row r="33" spans="1:8">
      <c r="A33" s="38" t="s">
        <v>338</v>
      </c>
      <c r="B33" s="24"/>
      <c r="E33" s="113"/>
      <c r="H33" s="113"/>
    </row>
    <row r="34" spans="1:8">
      <c r="A34" s="38"/>
      <c r="B34" s="24"/>
    </row>
    <row r="35" spans="1:8">
      <c r="A35" s="38" t="s">
        <v>339</v>
      </c>
      <c r="B35" s="24"/>
      <c r="E35" s="113"/>
      <c r="H35" s="113"/>
    </row>
    <row r="36" spans="1:8">
      <c r="A36" s="38"/>
      <c r="B36" s="24"/>
    </row>
    <row r="37" spans="1:8">
      <c r="A37" s="38" t="s">
        <v>340</v>
      </c>
      <c r="B37" s="24"/>
      <c r="E37" s="113"/>
      <c r="H37" s="113"/>
    </row>
    <row r="38" spans="1:8">
      <c r="A38" s="38"/>
      <c r="B38" s="24"/>
    </row>
    <row r="39" spans="1:8">
      <c r="A39" s="38" t="s">
        <v>341</v>
      </c>
      <c r="B39" s="24"/>
      <c r="E39" s="113"/>
      <c r="H39" s="113"/>
    </row>
    <row r="40" spans="1:8">
      <c r="A40" s="38"/>
      <c r="B40" s="24"/>
    </row>
    <row r="41" spans="1:8">
      <c r="A41" s="38" t="s">
        <v>342</v>
      </c>
      <c r="B41" s="24"/>
      <c r="E41" s="113"/>
      <c r="H41" s="113"/>
    </row>
    <row r="42" spans="1:8">
      <c r="A42" s="38"/>
      <c r="B42" s="24"/>
    </row>
    <row r="43" spans="1:8">
      <c r="A43" s="38" t="s">
        <v>343</v>
      </c>
      <c r="B43" s="24"/>
      <c r="E43" s="113"/>
      <c r="H43" s="113"/>
    </row>
    <row r="44" spans="1:8">
      <c r="A44" s="38"/>
      <c r="B44" s="24"/>
    </row>
    <row r="45" spans="1:8">
      <c r="A45" s="38" t="s">
        <v>344</v>
      </c>
      <c r="B45" s="24"/>
      <c r="E45" s="113"/>
      <c r="H45" s="113"/>
    </row>
    <row r="46" spans="1:8">
      <c r="A46" s="38"/>
      <c r="B46" s="24"/>
    </row>
    <row r="47" spans="1:8">
      <c r="A47" s="38" t="s">
        <v>355</v>
      </c>
      <c r="B47" s="24"/>
    </row>
    <row r="48" spans="1:8">
      <c r="A48" s="38"/>
      <c r="B48" s="24"/>
    </row>
    <row r="49" spans="1:10">
      <c r="A49" s="117"/>
      <c r="E49" s="113"/>
      <c r="H49" s="113"/>
    </row>
    <row r="50" spans="1:10" ht="39.6" customHeight="1">
      <c r="A50" s="78"/>
      <c r="E50" s="13"/>
      <c r="H50" s="13"/>
    </row>
    <row r="51" spans="1:10">
      <c r="A51" s="45" t="s">
        <v>34</v>
      </c>
      <c r="B51" s="24"/>
      <c r="E51" s="22">
        <f>SUM(E16:E45)</f>
        <v>0</v>
      </c>
      <c r="H51" s="22">
        <f>SUM(H16:H45)</f>
        <v>0</v>
      </c>
      <c r="I51" s="13"/>
      <c r="J51" s="13"/>
    </row>
    <row r="52" spans="1:10" ht="12" customHeight="1"/>
    <row r="53" spans="1:10" ht="12" customHeight="1"/>
  </sheetData>
  <sheetProtection algorithmName="SHA-512" hashValue="IN9KINiXQzRnnnFHbdzwSkTY78JuoIn54exSDAe1VHMxwuBqlQfhXgSw01e+fIj4N6I+WGKfQDLo+Hg3pqPRNw==" saltValue="IxTGrq8byb+0qPsLIvuiqQ==" spinCount="100000" sheet="1" select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"/>
  <sheetViews>
    <sheetView zoomScaleNormal="100" workbookViewId="0">
      <selection activeCell="B3" sqref="B3"/>
    </sheetView>
  </sheetViews>
  <sheetFormatPr defaultColWidth="8.5703125" defaultRowHeight="15"/>
  <cols>
    <col min="1" max="1" width="5.5703125" style="118" customWidth="1"/>
    <col min="2" max="2" width="86" style="120" customWidth="1"/>
    <col min="3" max="16384" width="8.5703125" style="120"/>
  </cols>
  <sheetData>
    <row r="1" spans="1:6">
      <c r="B1" s="119" t="s">
        <v>449</v>
      </c>
      <c r="C1" s="118"/>
      <c r="D1" s="118"/>
    </row>
    <row r="2" spans="1:6" ht="37.5" customHeight="1">
      <c r="B2" s="121" t="s">
        <v>568</v>
      </c>
      <c r="C2" s="118"/>
      <c r="D2" s="118"/>
    </row>
    <row r="3" spans="1:6">
      <c r="B3" s="172" t="s">
        <v>569</v>
      </c>
    </row>
    <row r="4" spans="1:6">
      <c r="B4" s="173"/>
    </row>
    <row r="5" spans="1:6">
      <c r="B5" s="174" t="s">
        <v>570</v>
      </c>
    </row>
    <row r="6" spans="1:6">
      <c r="A6" s="118">
        <v>1</v>
      </c>
      <c r="B6" s="121" t="s">
        <v>571</v>
      </c>
    </row>
    <row r="7" spans="1:6">
      <c r="A7" s="118">
        <v>2</v>
      </c>
      <c r="B7" s="121" t="s">
        <v>572</v>
      </c>
    </row>
    <row r="8" spans="1:6">
      <c r="A8" s="118">
        <v>3</v>
      </c>
      <c r="B8" s="121" t="s">
        <v>573</v>
      </c>
    </row>
    <row r="9" spans="1:6" ht="30">
      <c r="A9" s="118">
        <v>4</v>
      </c>
      <c r="B9" s="121" t="s">
        <v>574</v>
      </c>
    </row>
    <row r="10" spans="1:6">
      <c r="A10" s="118">
        <v>5</v>
      </c>
      <c r="B10" s="121" t="s">
        <v>575</v>
      </c>
    </row>
    <row r="11" spans="1:6">
      <c r="A11" s="118">
        <v>6</v>
      </c>
      <c r="B11" s="121" t="s">
        <v>576</v>
      </c>
    </row>
    <row r="12" spans="1:6" ht="30">
      <c r="A12" s="118">
        <v>7</v>
      </c>
      <c r="B12" s="122" t="s">
        <v>754</v>
      </c>
    </row>
    <row r="13" spans="1:6" ht="43.5" customHeight="1">
      <c r="A13" s="118">
        <v>8</v>
      </c>
      <c r="B13" s="122" t="s">
        <v>755</v>
      </c>
    </row>
    <row r="14" spans="1:6" ht="45">
      <c r="A14" s="118">
        <v>9</v>
      </c>
      <c r="B14" s="122" t="s">
        <v>756</v>
      </c>
      <c r="F14"/>
    </row>
    <row r="15" spans="1:6">
      <c r="A15" s="118">
        <v>10</v>
      </c>
      <c r="B15" s="121" t="s">
        <v>577</v>
      </c>
    </row>
    <row r="16" spans="1:6" ht="45">
      <c r="A16" s="118">
        <v>11</v>
      </c>
      <c r="B16" s="121" t="s">
        <v>763</v>
      </c>
    </row>
    <row r="17" spans="1:4" ht="30">
      <c r="A17" s="118">
        <v>12</v>
      </c>
      <c r="B17" s="122" t="s">
        <v>578</v>
      </c>
    </row>
    <row r="18" spans="1:4">
      <c r="A18" s="118">
        <v>13</v>
      </c>
      <c r="B18" s="121" t="s">
        <v>579</v>
      </c>
    </row>
    <row r="19" spans="1:4">
      <c r="B19" s="121"/>
    </row>
    <row r="20" spans="1:4">
      <c r="B20" s="174" t="s">
        <v>580</v>
      </c>
    </row>
    <row r="21" spans="1:4">
      <c r="A21" s="118">
        <v>14</v>
      </c>
      <c r="B21" s="122" t="str">
        <f>"Use the file name structure ""Company Code_CB30_"&amp;'COVER PAGE'!$C$3&amp;"_MMMYYYY""."</f>
        <v>Use the file name structure "Company Code_CB30_V1.2_MMMYYYY".</v>
      </c>
    </row>
    <row r="22" spans="1:4">
      <c r="A22" s="118">
        <v>15</v>
      </c>
      <c r="B22" s="121" t="s">
        <v>769</v>
      </c>
    </row>
    <row r="24" spans="1:4" s="123" customFormat="1">
      <c r="B24" s="184" t="s">
        <v>758</v>
      </c>
      <c r="C24" s="120"/>
      <c r="D24" s="120"/>
    </row>
    <row r="25" spans="1:4" s="123" customFormat="1" ht="30">
      <c r="A25" s="118">
        <v>16</v>
      </c>
      <c r="B25" s="185" t="s">
        <v>759</v>
      </c>
      <c r="C25" s="120"/>
      <c r="D25" s="120"/>
    </row>
    <row r="26" spans="1:4" s="123" customFormat="1">
      <c r="A26" s="118">
        <v>17</v>
      </c>
      <c r="B26" s="185" t="s">
        <v>760</v>
      </c>
      <c r="C26" s="120"/>
      <c r="D26" s="120"/>
    </row>
    <row r="27" spans="1:4" s="123" customFormat="1" ht="18" customHeight="1">
      <c r="A27" s="118">
        <v>18</v>
      </c>
      <c r="B27" s="185" t="s">
        <v>761</v>
      </c>
      <c r="C27" s="120"/>
      <c r="D27" s="120"/>
    </row>
    <row r="28" spans="1:4" s="123" customFormat="1" ht="30">
      <c r="A28" s="118">
        <v>19</v>
      </c>
      <c r="B28" s="189" t="str">
        <f>"Remember to save the file in the recommended naming convention ""Company Code_CB30_"&amp;'COVER PAGE'!$C$3&amp;"_MMMYYYY"" as per instruction number 14."</f>
        <v>Remember to save the file in the recommended naming convention "Company Code_CB30_V1.2_MMMYYYY" as per instruction number 14.</v>
      </c>
      <c r="C28" s="120"/>
      <c r="D28" s="120"/>
    </row>
    <row r="29" spans="1:4" s="123" customFormat="1">
      <c r="A29" s="118">
        <v>20</v>
      </c>
      <c r="B29" s="186" t="s">
        <v>762</v>
      </c>
      <c r="C29" s="120"/>
      <c r="D29" s="120"/>
    </row>
    <row r="30" spans="1:4" s="123" customFormat="1">
      <c r="C30" s="120"/>
      <c r="D30" s="120"/>
    </row>
    <row r="31" spans="1:4" s="123" customFormat="1"/>
    <row r="32" spans="1:4" s="123" customFormat="1"/>
    <row r="33" s="123" customFormat="1"/>
    <row r="34" s="123" customFormat="1"/>
  </sheetData>
  <sheetProtection algorithmName="SHA-512" hashValue="RvMVeQM06j6b8jvC9O0Fz4bPvXvPBiNzj/vOq4l1Hz4iwSPiVD7iX+QpvrgxlsWW7eufWvYSvo7ua580pm8FFQ==" saltValue="ljHDUJy+MLa4d89utmQfYg==" spinCount="100000" sheet="1" selectLockedCells="1"/>
  <hyperlinks>
    <hyperlink ref="B3" r:id="rId1" xr:uid="{00000000-0004-0000-0100-000000000000}"/>
  </hyperlinks>
  <pageMargins left="0.7" right="0.7" top="0.75" bottom="0.75" header="0.3" footer="0.3"/>
  <pageSetup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2:K55"/>
  <sheetViews>
    <sheetView showGridLines="0" topLeftCell="A34" zoomScaleNormal="100" workbookViewId="0">
      <selection activeCell="D19" sqref="D19"/>
    </sheetView>
  </sheetViews>
  <sheetFormatPr defaultColWidth="8.5703125" defaultRowHeight="12.75"/>
  <cols>
    <col min="1" max="1" width="16.5703125" style="8" customWidth="1"/>
    <col min="2" max="2" width="5.42578125" style="8" customWidth="1"/>
    <col min="3" max="3" width="5.5703125" style="8" customWidth="1"/>
    <col min="4" max="4" width="8.5703125" style="8" customWidth="1"/>
    <col min="5" max="5" width="9.42578125" style="8" customWidth="1"/>
    <col min="6" max="9" width="8.5703125" style="8"/>
    <col min="10" max="10" width="10.5703125" style="8" bestFit="1" customWidth="1"/>
    <col min="11" max="16384" width="8.5703125" style="8"/>
  </cols>
  <sheetData>
    <row r="2" spans="1:11">
      <c r="F2" s="83"/>
    </row>
    <row r="3" spans="1:11">
      <c r="A3" s="24"/>
      <c r="B3" s="24"/>
      <c r="C3" s="24"/>
      <c r="D3" s="24"/>
      <c r="F3" s="24"/>
      <c r="G3" s="24"/>
      <c r="H3" s="24"/>
      <c r="I3" s="24"/>
      <c r="J3" s="37" t="s">
        <v>539</v>
      </c>
    </row>
    <row r="4" spans="1:11" ht="15">
      <c r="A4" s="71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30"/>
    </row>
    <row r="5" spans="1:11" ht="15">
      <c r="A5" s="28"/>
      <c r="B5" s="28"/>
      <c r="C5" s="28"/>
      <c r="D5" s="28"/>
      <c r="E5" s="28"/>
      <c r="F5" s="28"/>
      <c r="G5" s="28"/>
      <c r="H5" s="28"/>
      <c r="I5" s="28"/>
      <c r="J5" s="28"/>
      <c r="K5" s="30"/>
    </row>
    <row r="6" spans="1:11" ht="15">
      <c r="A6" s="27" t="s">
        <v>385</v>
      </c>
      <c r="B6" s="28"/>
      <c r="C6" s="28"/>
      <c r="D6" s="28"/>
      <c r="E6" s="28"/>
      <c r="F6" s="28"/>
      <c r="G6" s="28"/>
      <c r="H6" s="28"/>
      <c r="I6" s="28"/>
      <c r="J6" s="28"/>
      <c r="K6" s="30"/>
    </row>
    <row r="7" spans="1:11" ht="15">
      <c r="A7" s="27"/>
      <c r="B7" s="28"/>
      <c r="C7" s="28"/>
      <c r="D7" s="28"/>
      <c r="E7" s="28"/>
      <c r="F7" s="28"/>
      <c r="G7" s="28"/>
      <c r="H7" s="28"/>
      <c r="I7" s="28"/>
      <c r="J7" s="28"/>
      <c r="K7" s="30"/>
    </row>
    <row r="8" spans="1:11" ht="15">
      <c r="A8" s="27"/>
      <c r="B8" s="28"/>
      <c r="C8" s="28"/>
      <c r="D8" s="28"/>
      <c r="E8" s="28"/>
      <c r="F8" s="28"/>
      <c r="G8" s="28"/>
      <c r="H8" s="28"/>
      <c r="I8" s="28"/>
      <c r="J8" s="28"/>
      <c r="K8" s="30"/>
    </row>
    <row r="9" spans="1:11" ht="15">
      <c r="A9" s="28"/>
      <c r="B9" s="28"/>
      <c r="C9" s="28"/>
      <c r="D9" s="28"/>
      <c r="E9" s="28"/>
      <c r="F9" s="28"/>
      <c r="G9" s="28"/>
      <c r="H9" s="28"/>
      <c r="I9" s="28"/>
      <c r="J9" s="28"/>
      <c r="K9" s="30"/>
    </row>
    <row r="10" spans="1:11" ht="1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30"/>
    </row>
    <row r="11" spans="1:11" ht="15">
      <c r="A11" s="66" t="s">
        <v>507</v>
      </c>
      <c r="B11" s="48" t="str">
        <f>'COVER PAGE'!C7</f>
        <v>SELECT INSTITUTION</v>
      </c>
      <c r="C11" s="28"/>
      <c r="D11" s="28"/>
      <c r="E11" s="28"/>
      <c r="F11" s="28"/>
      <c r="G11" s="28" t="s">
        <v>510</v>
      </c>
      <c r="H11" s="28"/>
      <c r="I11" s="28"/>
      <c r="J11" s="50" t="str">
        <f>'COVER PAGE'!$F$9</f>
        <v>September</v>
      </c>
      <c r="K11" s="51">
        <f>'COVER PAGE'!$F$10</f>
        <v>45292</v>
      </c>
    </row>
    <row r="14" spans="1:11">
      <c r="A14" s="72" t="s">
        <v>321</v>
      </c>
      <c r="B14" s="23"/>
      <c r="D14" s="72" t="s">
        <v>322</v>
      </c>
      <c r="H14" s="45" t="s">
        <v>323</v>
      </c>
      <c r="I14" s="24"/>
      <c r="J14" s="24"/>
    </row>
    <row r="15" spans="1:11">
      <c r="A15" s="72" t="s">
        <v>383</v>
      </c>
      <c r="B15" s="23"/>
      <c r="D15" s="72" t="s">
        <v>384</v>
      </c>
      <c r="H15" s="45" t="s">
        <v>326</v>
      </c>
      <c r="I15" s="24"/>
      <c r="J15" s="24"/>
    </row>
    <row r="16" spans="1:11">
      <c r="A16" s="45" t="s">
        <v>327</v>
      </c>
      <c r="B16" s="36"/>
      <c r="D16" s="45" t="s">
        <v>328</v>
      </c>
      <c r="H16" s="76" t="s">
        <v>38</v>
      </c>
      <c r="I16" s="24"/>
      <c r="J16" s="24"/>
    </row>
    <row r="17" spans="1:8">
      <c r="A17" s="38"/>
    </row>
    <row r="18" spans="1:8">
      <c r="A18" s="38"/>
    </row>
    <row r="19" spans="1:8">
      <c r="A19" s="38" t="s">
        <v>330</v>
      </c>
      <c r="B19" s="24"/>
      <c r="D19" s="113"/>
      <c r="H19" s="113"/>
    </row>
    <row r="20" spans="1:8">
      <c r="A20" s="38"/>
      <c r="B20" s="24"/>
      <c r="D20" s="13"/>
      <c r="H20" s="13"/>
    </row>
    <row r="21" spans="1:8">
      <c r="A21" s="38" t="s">
        <v>357</v>
      </c>
      <c r="B21" s="24"/>
      <c r="D21" s="113"/>
      <c r="H21" s="113"/>
    </row>
    <row r="22" spans="1:8">
      <c r="A22" s="38"/>
      <c r="B22" s="24"/>
    </row>
    <row r="23" spans="1:8">
      <c r="A23" s="38" t="s">
        <v>332</v>
      </c>
      <c r="B23" s="24"/>
      <c r="D23" s="113"/>
      <c r="H23" s="113"/>
    </row>
    <row r="24" spans="1:8">
      <c r="A24" s="38"/>
      <c r="B24" s="24"/>
    </row>
    <row r="25" spans="1:8">
      <c r="A25" s="77" t="s">
        <v>333</v>
      </c>
      <c r="B25" s="24"/>
      <c r="D25" s="113"/>
      <c r="H25" s="113"/>
    </row>
    <row r="26" spans="1:8">
      <c r="A26" s="77"/>
      <c r="B26" s="24"/>
    </row>
    <row r="27" spans="1:8">
      <c r="A27" s="38" t="s">
        <v>334</v>
      </c>
      <c r="B27" s="24"/>
      <c r="D27" s="113"/>
      <c r="H27" s="113"/>
    </row>
    <row r="28" spans="1:8">
      <c r="A28" s="38"/>
      <c r="B28" s="24"/>
    </row>
    <row r="29" spans="1:8">
      <c r="A29" s="38" t="s">
        <v>335</v>
      </c>
      <c r="B29" s="24"/>
      <c r="D29" s="113"/>
      <c r="H29" s="113"/>
    </row>
    <row r="30" spans="1:8">
      <c r="A30" s="38"/>
      <c r="B30" s="24"/>
    </row>
    <row r="31" spans="1:8">
      <c r="A31" s="38" t="s">
        <v>336</v>
      </c>
      <c r="B31" s="24"/>
      <c r="D31" s="113"/>
      <c r="H31" s="113"/>
    </row>
    <row r="32" spans="1:8">
      <c r="A32" s="38"/>
      <c r="B32" s="24"/>
    </row>
    <row r="33" spans="1:8">
      <c r="A33" s="38" t="s">
        <v>337</v>
      </c>
      <c r="B33" s="24"/>
      <c r="D33" s="113"/>
      <c r="H33" s="113"/>
    </row>
    <row r="34" spans="1:8">
      <c r="A34" s="38"/>
      <c r="B34" s="24"/>
    </row>
    <row r="35" spans="1:8">
      <c r="A35" s="38" t="s">
        <v>338</v>
      </c>
      <c r="B35" s="24"/>
      <c r="D35" s="113"/>
      <c r="H35" s="113"/>
    </row>
    <row r="36" spans="1:8">
      <c r="A36" s="38"/>
      <c r="B36" s="24"/>
    </row>
    <row r="37" spans="1:8">
      <c r="A37" s="38" t="s">
        <v>339</v>
      </c>
      <c r="B37" s="24"/>
      <c r="D37" s="113"/>
      <c r="H37" s="113"/>
    </row>
    <row r="38" spans="1:8">
      <c r="A38" s="38"/>
      <c r="B38" s="24"/>
    </row>
    <row r="39" spans="1:8">
      <c r="A39" s="38" t="s">
        <v>340</v>
      </c>
      <c r="B39" s="24"/>
      <c r="D39" s="113"/>
      <c r="H39" s="113"/>
    </row>
    <row r="40" spans="1:8">
      <c r="A40" s="38"/>
      <c r="B40" s="24"/>
    </row>
    <row r="41" spans="1:8">
      <c r="A41" s="38" t="s">
        <v>341</v>
      </c>
      <c r="B41" s="24"/>
      <c r="D41" s="113"/>
      <c r="H41" s="113"/>
    </row>
    <row r="42" spans="1:8">
      <c r="A42" s="38"/>
      <c r="B42" s="24"/>
    </row>
    <row r="43" spans="1:8">
      <c r="A43" s="38" t="s">
        <v>342</v>
      </c>
      <c r="B43" s="24"/>
      <c r="D43" s="113"/>
      <c r="H43" s="113"/>
    </row>
    <row r="44" spans="1:8">
      <c r="A44" s="38"/>
      <c r="B44" s="24"/>
    </row>
    <row r="45" spans="1:8">
      <c r="A45" s="38" t="s">
        <v>343</v>
      </c>
      <c r="B45" s="24"/>
      <c r="D45" s="113"/>
      <c r="H45" s="113"/>
    </row>
    <row r="46" spans="1:8">
      <c r="A46" s="38"/>
      <c r="B46" s="24"/>
    </row>
    <row r="47" spans="1:8">
      <c r="A47" s="38" t="s">
        <v>344</v>
      </c>
      <c r="B47" s="24"/>
      <c r="D47" s="113"/>
      <c r="H47" s="113"/>
    </row>
    <row r="48" spans="1:8">
      <c r="A48" s="38"/>
      <c r="B48" s="24"/>
    </row>
    <row r="49" spans="1:10">
      <c r="A49" s="38" t="s">
        <v>355</v>
      </c>
      <c r="B49" s="24"/>
      <c r="D49" s="13"/>
      <c r="H49" s="13"/>
    </row>
    <row r="50" spans="1:10" ht="3" customHeight="1">
      <c r="A50" s="38"/>
      <c r="B50" s="24"/>
    </row>
    <row r="51" spans="1:10" ht="14.1" customHeight="1">
      <c r="A51" s="113"/>
      <c r="D51" s="113"/>
      <c r="H51" s="113"/>
    </row>
    <row r="52" spans="1:10" ht="12" customHeight="1">
      <c r="A52" s="13"/>
      <c r="D52" s="13"/>
      <c r="H52" s="13"/>
    </row>
    <row r="53" spans="1:10">
      <c r="A53" s="45" t="s">
        <v>34</v>
      </c>
      <c r="B53" s="24"/>
      <c r="D53" s="22">
        <f>SUM(D19:D47)</f>
        <v>0</v>
      </c>
      <c r="H53" s="22">
        <f>SUM(H19:H47)</f>
        <v>0</v>
      </c>
      <c r="I53" s="13"/>
      <c r="J53" s="13"/>
    </row>
    <row r="54" spans="1:10" ht="12" customHeight="1"/>
    <row r="55" spans="1:10" ht="12" customHeight="1"/>
  </sheetData>
  <sheetProtection algorithmName="SHA-512" hashValue="hfnGCarZynIxRJOXC6RFBpromU1onnTZYo/Oh8TZqnCGA+LvNZ+AZDs1YrEbK9biU4va2brmuy5g7v1CwX67XQ==" saltValue="q804MXVNYX3AWzywgHB8yA==" spinCount="100000" sheet="1" selectLockedCells="1"/>
  <pageMargins left="0.7" right="0.7" top="0.75" bottom="0.75" header="0.3" footer="0.3"/>
  <pageSetup scale="9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2:L90"/>
  <sheetViews>
    <sheetView showGridLines="0" zoomScaleNormal="100" workbookViewId="0">
      <selection activeCell="A64" sqref="A64:D64"/>
    </sheetView>
  </sheetViews>
  <sheetFormatPr defaultColWidth="8.5703125" defaultRowHeight="12.75"/>
  <cols>
    <col min="1" max="1" width="12.42578125" style="8" customWidth="1"/>
    <col min="2" max="5" width="8.5703125" style="8" customWidth="1"/>
    <col min="6" max="6" width="3.5703125" style="8" customWidth="1"/>
    <col min="7" max="7" width="4" style="8" hidden="1" customWidth="1"/>
    <col min="8" max="8" width="8.5703125" style="8"/>
    <col min="9" max="9" width="9.5703125" style="8" customWidth="1"/>
    <col min="10" max="10" width="10.5703125" style="8" customWidth="1"/>
    <col min="11" max="16384" width="8.5703125" style="8"/>
  </cols>
  <sheetData>
    <row r="2" spans="1:12">
      <c r="F2" s="83"/>
      <c r="K2" s="37" t="s">
        <v>540</v>
      </c>
    </row>
    <row r="3" spans="1:12">
      <c r="A3" s="24"/>
      <c r="B3" s="24"/>
      <c r="C3" s="24"/>
      <c r="D3" s="24"/>
      <c r="E3" s="24"/>
      <c r="G3" s="24"/>
      <c r="H3" s="24"/>
      <c r="I3" s="24"/>
      <c r="J3" s="24"/>
      <c r="L3" s="24"/>
    </row>
    <row r="4" spans="1:12" ht="15">
      <c r="A4" s="71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30"/>
    </row>
    <row r="5" spans="1:12" ht="15">
      <c r="A5" s="28"/>
      <c r="B5" s="28"/>
      <c r="C5" s="28"/>
      <c r="D5" s="28"/>
      <c r="E5" s="28"/>
      <c r="F5" s="28"/>
      <c r="G5" s="28"/>
      <c r="H5" s="28"/>
      <c r="I5" s="28"/>
      <c r="J5" s="28"/>
      <c r="K5" s="30"/>
    </row>
    <row r="6" spans="1:12" ht="15">
      <c r="A6" s="27" t="s">
        <v>386</v>
      </c>
      <c r="B6" s="28"/>
      <c r="C6" s="28"/>
      <c r="D6" s="28"/>
      <c r="E6" s="28"/>
      <c r="F6" s="28"/>
      <c r="G6" s="28"/>
      <c r="H6" s="28"/>
      <c r="I6" s="28"/>
      <c r="J6" s="28"/>
      <c r="K6" s="30"/>
    </row>
    <row r="7" spans="1:12" ht="15">
      <c r="A7" s="28"/>
      <c r="B7" s="28"/>
      <c r="C7" s="28"/>
      <c r="D7" s="28"/>
      <c r="E7" s="28"/>
      <c r="F7" s="28"/>
      <c r="G7" s="28"/>
      <c r="H7" s="28"/>
      <c r="I7" s="28"/>
      <c r="J7" s="28"/>
      <c r="K7" s="30"/>
    </row>
    <row r="8" spans="1:12" ht="15">
      <c r="A8" s="28"/>
      <c r="B8" s="28"/>
      <c r="C8" s="28"/>
      <c r="D8" s="28"/>
      <c r="E8" s="28"/>
      <c r="F8" s="28"/>
      <c r="G8" s="28"/>
      <c r="H8" s="28"/>
      <c r="I8" s="28"/>
      <c r="J8" s="28"/>
      <c r="K8" s="30"/>
    </row>
    <row r="9" spans="1:12" ht="15">
      <c r="A9" s="60" t="s">
        <v>508</v>
      </c>
      <c r="B9" s="48" t="str">
        <f>'COVER PAGE'!C7</f>
        <v>SELECT INSTITUTION</v>
      </c>
      <c r="C9" s="30"/>
      <c r="D9" s="47"/>
      <c r="E9" s="47"/>
      <c r="F9" s="47"/>
      <c r="G9" s="47"/>
      <c r="H9" s="47" t="s">
        <v>502</v>
      </c>
      <c r="I9" s="47"/>
      <c r="J9" s="50" t="str">
        <f>'COVER PAGE'!$F$9</f>
        <v>September</v>
      </c>
      <c r="K9" s="51">
        <f>'COVER PAGE'!$F$10</f>
        <v>45292</v>
      </c>
    </row>
    <row r="12" spans="1:12">
      <c r="A12" s="25" t="s">
        <v>387</v>
      </c>
      <c r="I12" s="79" t="s">
        <v>388</v>
      </c>
      <c r="J12" s="24"/>
      <c r="K12" s="24"/>
    </row>
    <row r="15" spans="1:12">
      <c r="A15" s="8" t="s">
        <v>389</v>
      </c>
      <c r="I15" s="114"/>
    </row>
    <row r="16" spans="1:12">
      <c r="I16" s="42"/>
    </row>
    <row r="17" spans="1:9">
      <c r="A17" s="8" t="s">
        <v>390</v>
      </c>
      <c r="I17" s="114"/>
    </row>
    <row r="18" spans="1:9">
      <c r="I18" s="42"/>
    </row>
    <row r="19" spans="1:9">
      <c r="A19" s="8" t="s">
        <v>391</v>
      </c>
      <c r="I19" s="114"/>
    </row>
    <row r="20" spans="1:9">
      <c r="I20" s="42"/>
    </row>
    <row r="21" spans="1:9">
      <c r="A21" s="8" t="s">
        <v>392</v>
      </c>
      <c r="I21" s="114"/>
    </row>
    <row r="22" spans="1:9">
      <c r="I22" s="42"/>
    </row>
    <row r="23" spans="1:9">
      <c r="A23" s="8" t="s">
        <v>393</v>
      </c>
      <c r="D23" s="44"/>
      <c r="I23" s="114"/>
    </row>
    <row r="24" spans="1:9">
      <c r="I24" s="42"/>
    </row>
    <row r="25" spans="1:9">
      <c r="A25" s="8" t="s">
        <v>394</v>
      </c>
      <c r="D25" s="44"/>
      <c r="I25" s="114"/>
    </row>
    <row r="26" spans="1:9">
      <c r="I26" s="42"/>
    </row>
    <row r="27" spans="1:9">
      <c r="A27" s="8" t="s">
        <v>395</v>
      </c>
      <c r="I27" s="114"/>
    </row>
    <row r="28" spans="1:9">
      <c r="I28" s="42"/>
    </row>
    <row r="29" spans="1:9">
      <c r="A29" s="8" t="s">
        <v>396</v>
      </c>
      <c r="I29" s="114"/>
    </row>
    <row r="30" spans="1:9">
      <c r="I30" s="42"/>
    </row>
    <row r="31" spans="1:9">
      <c r="A31" s="8" t="s">
        <v>397</v>
      </c>
      <c r="D31" s="80" t="s">
        <v>398</v>
      </c>
      <c r="I31" s="40">
        <f>I33+I35</f>
        <v>0</v>
      </c>
    </row>
    <row r="32" spans="1:9">
      <c r="I32" s="42"/>
    </row>
    <row r="33" spans="1:9">
      <c r="D33" s="80" t="s">
        <v>523</v>
      </c>
      <c r="I33" s="114"/>
    </row>
    <row r="34" spans="1:9">
      <c r="I34" s="42"/>
    </row>
    <row r="35" spans="1:9">
      <c r="D35" s="80" t="s">
        <v>524</v>
      </c>
      <c r="I35" s="114"/>
    </row>
    <row r="36" spans="1:9">
      <c r="I36" s="42"/>
    </row>
    <row r="37" spans="1:9">
      <c r="A37" s="8" t="s">
        <v>399</v>
      </c>
      <c r="I37" s="114"/>
    </row>
    <row r="38" spans="1:9">
      <c r="I38" s="42"/>
    </row>
    <row r="39" spans="1:9">
      <c r="A39" s="8" t="s">
        <v>400</v>
      </c>
      <c r="I39" s="114"/>
    </row>
    <row r="41" spans="1:9">
      <c r="A41" s="8" t="s">
        <v>401</v>
      </c>
      <c r="I41" s="114"/>
    </row>
    <row r="42" spans="1:9">
      <c r="I42" s="42"/>
    </row>
    <row r="43" spans="1:9">
      <c r="A43" s="8" t="s">
        <v>402</v>
      </c>
      <c r="I43" s="40">
        <f>I45+I47+I49+I51+I53+I55+I57</f>
        <v>0</v>
      </c>
    </row>
    <row r="44" spans="1:9">
      <c r="I44" s="42"/>
    </row>
    <row r="45" spans="1:9" ht="12.75" customHeight="1">
      <c r="B45" s="169" t="s">
        <v>403</v>
      </c>
      <c r="I45" s="114"/>
    </row>
    <row r="46" spans="1:9">
      <c r="B46" s="37"/>
      <c r="I46" s="42"/>
    </row>
    <row r="47" spans="1:9">
      <c r="B47" s="169" t="s">
        <v>404</v>
      </c>
      <c r="I47" s="114"/>
    </row>
    <row r="48" spans="1:9">
      <c r="B48" s="37"/>
      <c r="I48" s="42"/>
    </row>
    <row r="49" spans="1:11">
      <c r="B49" s="169" t="s">
        <v>405</v>
      </c>
      <c r="I49" s="114"/>
    </row>
    <row r="50" spans="1:11">
      <c r="B50" s="37"/>
      <c r="I50" s="42"/>
    </row>
    <row r="51" spans="1:11">
      <c r="B51" s="187" t="s">
        <v>406</v>
      </c>
      <c r="I51" s="114"/>
    </row>
    <row r="52" spans="1:11">
      <c r="B52" s="37"/>
      <c r="I52" s="42"/>
    </row>
    <row r="53" spans="1:11">
      <c r="B53" s="169" t="s">
        <v>407</v>
      </c>
      <c r="I53" s="114"/>
    </row>
    <row r="54" spans="1:11">
      <c r="B54" s="37"/>
      <c r="I54" s="42"/>
    </row>
    <row r="55" spans="1:11">
      <c r="B55" s="169" t="s">
        <v>408</v>
      </c>
      <c r="I55" s="114"/>
    </row>
    <row r="56" spans="1:11">
      <c r="B56" s="37"/>
      <c r="I56" s="42"/>
    </row>
    <row r="57" spans="1:11">
      <c r="B57" s="169" t="s">
        <v>409</v>
      </c>
      <c r="I57" s="114"/>
    </row>
    <row r="58" spans="1:11">
      <c r="I58" s="56"/>
    </row>
    <row r="59" spans="1:11">
      <c r="I59" s="42"/>
    </row>
    <row r="60" spans="1:11">
      <c r="A60" s="25" t="s">
        <v>410</v>
      </c>
      <c r="I60" s="40">
        <f>+I43+I41+I39+I37+I31+I29+I27+I25+I23+I21+I19+I17+I15</f>
        <v>0</v>
      </c>
      <c r="J60" s="41"/>
      <c r="K60" s="41"/>
    </row>
    <row r="64" spans="1:11" ht="28.5" customHeight="1">
      <c r="A64" s="226"/>
      <c r="B64" s="226"/>
      <c r="C64" s="226"/>
      <c r="D64" s="226"/>
      <c r="F64" s="43"/>
      <c r="G64" s="43"/>
      <c r="H64" s="227"/>
      <c r="I64" s="227"/>
      <c r="J64" s="227"/>
      <c r="K64" s="227"/>
    </row>
    <row r="65" spans="1:11">
      <c r="A65" s="231" t="s">
        <v>560</v>
      </c>
      <c r="B65" s="231"/>
      <c r="C65" s="231"/>
      <c r="D65" s="231"/>
      <c r="E65" s="85"/>
      <c r="F65" s="85"/>
      <c r="G65" s="85"/>
      <c r="H65" s="231" t="s">
        <v>561</v>
      </c>
      <c r="I65" s="231"/>
      <c r="J65" s="231"/>
      <c r="K65" s="231"/>
    </row>
    <row r="66" spans="1:11">
      <c r="A66" s="231" t="s">
        <v>562</v>
      </c>
      <c r="B66" s="231"/>
      <c r="C66" s="231"/>
      <c r="D66" s="231"/>
      <c r="H66" s="86"/>
    </row>
    <row r="67" spans="1:11">
      <c r="A67" s="86"/>
      <c r="H67" s="86"/>
    </row>
    <row r="68" spans="1:11">
      <c r="A68" s="86"/>
      <c r="H68" s="86"/>
    </row>
    <row r="69" spans="1:11">
      <c r="A69" s="86"/>
      <c r="H69" s="86"/>
    </row>
    <row r="70" spans="1:11" ht="39.75" customHeight="1">
      <c r="A70" s="226"/>
      <c r="B70" s="226"/>
      <c r="C70" s="226"/>
      <c r="D70" s="226"/>
      <c r="H70" s="226"/>
      <c r="I70" s="226"/>
      <c r="J70" s="226"/>
      <c r="K70" s="226"/>
    </row>
    <row r="71" spans="1:11">
      <c r="A71" s="232" t="s">
        <v>563</v>
      </c>
      <c r="B71" s="232"/>
      <c r="C71" s="232"/>
      <c r="D71" s="232"/>
      <c r="E71" s="85"/>
      <c r="F71" s="85"/>
      <c r="G71" s="85"/>
      <c r="H71" s="231" t="s">
        <v>564</v>
      </c>
      <c r="I71" s="231"/>
      <c r="J71" s="231"/>
      <c r="K71" s="231"/>
    </row>
    <row r="72" spans="1:11">
      <c r="A72" s="231" t="s">
        <v>562</v>
      </c>
      <c r="B72" s="231"/>
      <c r="C72" s="231"/>
      <c r="D72" s="231"/>
      <c r="H72" s="86"/>
    </row>
    <row r="73" spans="1:11">
      <c r="A73" s="86"/>
      <c r="H73" s="86"/>
    </row>
    <row r="74" spans="1:11">
      <c r="A74" s="86"/>
      <c r="H74" s="86"/>
    </row>
    <row r="75" spans="1:11">
      <c r="A75" s="87"/>
      <c r="H75" s="86"/>
    </row>
    <row r="76" spans="1:11">
      <c r="A76" s="226"/>
      <c r="B76" s="226"/>
      <c r="C76" s="226"/>
      <c r="D76" s="226"/>
      <c r="H76" s="226"/>
      <c r="I76" s="226"/>
      <c r="J76" s="226"/>
      <c r="K76" s="226"/>
    </row>
    <row r="77" spans="1:11">
      <c r="A77" s="232" t="s">
        <v>565</v>
      </c>
      <c r="B77" s="232"/>
      <c r="C77" s="232"/>
      <c r="D77" s="232"/>
      <c r="F77" s="231" t="s">
        <v>411</v>
      </c>
      <c r="G77" s="231"/>
      <c r="H77" s="231"/>
      <c r="I77" s="231"/>
      <c r="J77" s="231"/>
      <c r="K77" s="231"/>
    </row>
    <row r="78" spans="1:11">
      <c r="A78" s="231" t="s">
        <v>566</v>
      </c>
      <c r="B78" s="231"/>
      <c r="C78" s="231"/>
      <c r="D78" s="231"/>
    </row>
    <row r="81" spans="1:4" ht="57" customHeight="1">
      <c r="A81" s="229" t="s">
        <v>567</v>
      </c>
      <c r="B81" s="229"/>
      <c r="C81" s="229"/>
      <c r="D81" s="229"/>
    </row>
    <row r="82" spans="1:4">
      <c r="A82" s="86"/>
    </row>
    <row r="83" spans="1:4">
      <c r="A83" s="228"/>
      <c r="B83" s="228"/>
      <c r="C83" s="228"/>
      <c r="D83" s="228"/>
    </row>
    <row r="84" spans="1:4">
      <c r="A84" s="234" t="s">
        <v>563</v>
      </c>
      <c r="B84" s="234"/>
      <c r="C84" s="234"/>
      <c r="D84" s="234"/>
    </row>
    <row r="85" spans="1:4">
      <c r="A85" s="86"/>
    </row>
    <row r="86" spans="1:4">
      <c r="A86" s="228"/>
      <c r="B86" s="228"/>
      <c r="C86" s="228"/>
      <c r="D86" s="228"/>
    </row>
    <row r="87" spans="1:4">
      <c r="A87" s="234" t="s">
        <v>565</v>
      </c>
      <c r="B87" s="234"/>
      <c r="C87" s="234"/>
      <c r="D87" s="234"/>
    </row>
    <row r="88" spans="1:4">
      <c r="A88" s="86"/>
    </row>
    <row r="89" spans="1:4">
      <c r="A89" s="233"/>
      <c r="B89" s="233"/>
      <c r="C89" s="233"/>
      <c r="D89" s="233"/>
    </row>
    <row r="90" spans="1:4">
      <c r="A90" s="230" t="s">
        <v>411</v>
      </c>
      <c r="B90" s="230"/>
      <c r="C90" s="230"/>
      <c r="D90" s="230"/>
    </row>
  </sheetData>
  <sheetProtection algorithmName="SHA-512" hashValue="bFz86mxj0djseLlzwIBnBMYYoHXXRmrH4SgYdZ/Y2FOaVMUp2kHCcQKUJMo9zVt6er9uQw6IOKgzXFC4cR8fvg==" saltValue="7CXiweFJzIlSxnSmKcQ+aA==" spinCount="100000" sheet="1" selectLockedCells="1"/>
  <mergeCells count="22">
    <mergeCell ref="A90:D90"/>
    <mergeCell ref="H65:K65"/>
    <mergeCell ref="H71:K71"/>
    <mergeCell ref="F77:K77"/>
    <mergeCell ref="A72:D72"/>
    <mergeCell ref="A70:D70"/>
    <mergeCell ref="A77:D77"/>
    <mergeCell ref="A78:D78"/>
    <mergeCell ref="A76:D76"/>
    <mergeCell ref="A66:D66"/>
    <mergeCell ref="A65:D65"/>
    <mergeCell ref="A71:D71"/>
    <mergeCell ref="A86:D86"/>
    <mergeCell ref="A89:D89"/>
    <mergeCell ref="A84:D84"/>
    <mergeCell ref="A87:D87"/>
    <mergeCell ref="A64:D64"/>
    <mergeCell ref="H64:K64"/>
    <mergeCell ref="H70:K70"/>
    <mergeCell ref="H76:K76"/>
    <mergeCell ref="A83:D83"/>
    <mergeCell ref="A81:D81"/>
  </mergeCells>
  <pageMargins left="0.7" right="0.7" top="0.75" bottom="0.75" header="0.3" footer="0.3"/>
  <pageSetup scale="90" orientation="portrait" r:id="rId1"/>
  <rowBreaks count="1" manualBreakCount="1">
    <brk id="60" max="11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B3:I155"/>
  <sheetViews>
    <sheetView zoomScale="70" zoomScaleNormal="70" workbookViewId="0">
      <selection activeCell="C17" sqref="C17"/>
    </sheetView>
  </sheetViews>
  <sheetFormatPr defaultColWidth="9.42578125" defaultRowHeight="19.5"/>
  <cols>
    <col min="1" max="1" width="9.42578125" style="3"/>
    <col min="2" max="2" width="79.5703125" style="3" customWidth="1"/>
    <col min="3" max="3" width="19.5703125" style="3" customWidth="1"/>
    <col min="4" max="4" width="13.5703125" style="3" bestFit="1" customWidth="1"/>
    <col min="5" max="6" width="13.5703125" style="3" customWidth="1"/>
    <col min="7" max="7" width="9.42578125" style="3"/>
    <col min="8" max="8" width="17.5703125" style="3" customWidth="1"/>
    <col min="9" max="16384" width="9.42578125" style="3"/>
  </cols>
  <sheetData>
    <row r="3" spans="2:9">
      <c r="B3" s="145" t="s">
        <v>446</v>
      </c>
      <c r="C3" s="3" t="s">
        <v>450</v>
      </c>
      <c r="D3" s="3" t="s">
        <v>14</v>
      </c>
      <c r="F3" s="3" t="s">
        <v>513</v>
      </c>
      <c r="G3" s="146"/>
      <c r="I3" s="147"/>
    </row>
    <row r="4" spans="2:9">
      <c r="B4" s="3" t="s">
        <v>451</v>
      </c>
      <c r="C4" s="3" t="s">
        <v>452</v>
      </c>
      <c r="D4" s="3" t="s">
        <v>514</v>
      </c>
      <c r="E4" s="148">
        <v>3</v>
      </c>
      <c r="F4" s="149">
        <v>42005</v>
      </c>
      <c r="G4" s="146"/>
    </row>
    <row r="5" spans="2:9">
      <c r="B5" s="3" t="s">
        <v>453</v>
      </c>
      <c r="C5" s="3" t="s">
        <v>454</v>
      </c>
      <c r="D5" s="3" t="s">
        <v>515</v>
      </c>
      <c r="E5" s="148">
        <v>6</v>
      </c>
      <c r="F5" s="149">
        <v>42370</v>
      </c>
      <c r="G5" s="146"/>
    </row>
    <row r="6" spans="2:9">
      <c r="B6" s="3" t="s">
        <v>455</v>
      </c>
      <c r="C6" s="3" t="s">
        <v>456</v>
      </c>
      <c r="D6" s="3" t="s">
        <v>516</v>
      </c>
      <c r="E6" s="148">
        <v>9</v>
      </c>
      <c r="F6" s="149">
        <v>42736</v>
      </c>
      <c r="G6" s="146"/>
    </row>
    <row r="7" spans="2:9">
      <c r="B7" s="3" t="s">
        <v>768</v>
      </c>
      <c r="C7" s="3" t="s">
        <v>471</v>
      </c>
      <c r="D7" s="3" t="s">
        <v>517</v>
      </c>
      <c r="E7" s="148">
        <v>12</v>
      </c>
      <c r="F7" s="149">
        <v>43101</v>
      </c>
      <c r="G7" s="146"/>
    </row>
    <row r="8" spans="2:9">
      <c r="B8" s="3" t="s">
        <v>457</v>
      </c>
      <c r="C8" s="3" t="s">
        <v>458</v>
      </c>
      <c r="D8" s="146"/>
      <c r="E8" s="146"/>
      <c r="F8" s="149">
        <v>43466</v>
      </c>
      <c r="G8" s="146"/>
    </row>
    <row r="9" spans="2:9">
      <c r="B9" s="3" t="s">
        <v>459</v>
      </c>
      <c r="C9" s="3" t="s">
        <v>460</v>
      </c>
      <c r="D9" s="146"/>
      <c r="E9" s="146"/>
      <c r="F9" s="149">
        <v>43831</v>
      </c>
      <c r="G9" s="146"/>
    </row>
    <row r="10" spans="2:9">
      <c r="B10" s="3" t="s">
        <v>461</v>
      </c>
      <c r="C10" s="3" t="s">
        <v>462</v>
      </c>
      <c r="D10" s="146"/>
      <c r="E10" s="146"/>
      <c r="F10" s="149">
        <v>44197</v>
      </c>
      <c r="G10" s="146"/>
    </row>
    <row r="11" spans="2:9">
      <c r="B11" s="3" t="s">
        <v>463</v>
      </c>
      <c r="C11" s="3" t="s">
        <v>464</v>
      </c>
      <c r="D11" s="146"/>
      <c r="E11" s="146"/>
      <c r="F11" s="149">
        <v>44562</v>
      </c>
      <c r="G11" s="146"/>
    </row>
    <row r="12" spans="2:9">
      <c r="B12" s="3" t="s">
        <v>465</v>
      </c>
      <c r="C12" s="3" t="s">
        <v>466</v>
      </c>
      <c r="D12" s="146"/>
      <c r="E12" s="146"/>
      <c r="F12" s="149">
        <v>44927</v>
      </c>
      <c r="G12" s="146"/>
    </row>
    <row r="13" spans="2:9">
      <c r="B13" s="3" t="s">
        <v>467</v>
      </c>
      <c r="C13" s="3" t="s">
        <v>468</v>
      </c>
      <c r="D13" s="146"/>
      <c r="E13" s="146"/>
      <c r="F13" s="149">
        <v>45292</v>
      </c>
      <c r="G13" s="146"/>
    </row>
    <row r="14" spans="2:9">
      <c r="B14" s="3" t="s">
        <v>469</v>
      </c>
      <c r="C14" s="3" t="s">
        <v>470</v>
      </c>
      <c r="D14" s="146"/>
      <c r="E14" s="146"/>
      <c r="F14" s="149">
        <v>45658</v>
      </c>
      <c r="G14" s="146"/>
    </row>
    <row r="15" spans="2:9">
      <c r="B15" s="3" t="s">
        <v>472</v>
      </c>
      <c r="C15" s="3" t="s">
        <v>473</v>
      </c>
      <c r="D15" s="146"/>
      <c r="E15" s="146"/>
      <c r="F15" s="149">
        <v>46023</v>
      </c>
      <c r="G15" s="146"/>
    </row>
    <row r="16" spans="2:9">
      <c r="B16" s="3" t="s">
        <v>474</v>
      </c>
      <c r="C16" s="3" t="s">
        <v>475</v>
      </c>
      <c r="D16" s="146"/>
      <c r="E16" s="146"/>
      <c r="F16" s="149">
        <v>46388</v>
      </c>
      <c r="G16" s="146"/>
    </row>
    <row r="17" spans="2:7">
      <c r="B17" s="3" t="s">
        <v>476</v>
      </c>
      <c r="C17" s="3" t="s">
        <v>477</v>
      </c>
      <c r="D17" s="146"/>
      <c r="E17" s="146"/>
      <c r="F17" s="149">
        <v>46753</v>
      </c>
      <c r="G17" s="146"/>
    </row>
    <row r="18" spans="2:7">
      <c r="B18" s="3" t="s">
        <v>478</v>
      </c>
      <c r="C18" s="3" t="s">
        <v>479</v>
      </c>
      <c r="D18" s="146"/>
      <c r="E18" s="146"/>
      <c r="F18" s="149">
        <v>47119</v>
      </c>
      <c r="G18" s="146"/>
    </row>
    <row r="19" spans="2:7">
      <c r="B19" s="3" t="s">
        <v>480</v>
      </c>
      <c r="C19" s="3" t="s">
        <v>481</v>
      </c>
      <c r="D19" s="146"/>
      <c r="E19" s="146"/>
      <c r="F19" s="149">
        <v>47484</v>
      </c>
      <c r="G19" s="146"/>
    </row>
    <row r="20" spans="2:7">
      <c r="B20" s="3" t="s">
        <v>497</v>
      </c>
      <c r="C20" s="3" t="s">
        <v>482</v>
      </c>
      <c r="D20" s="146"/>
      <c r="E20" s="146"/>
      <c r="F20" s="149">
        <v>47849</v>
      </c>
      <c r="G20" s="146"/>
    </row>
    <row r="21" spans="2:7">
      <c r="B21" s="3" t="s">
        <v>483</v>
      </c>
      <c r="C21" s="3" t="s">
        <v>484</v>
      </c>
      <c r="D21" s="146"/>
      <c r="E21" s="146"/>
      <c r="F21" s="149">
        <v>48214</v>
      </c>
      <c r="G21" s="146"/>
    </row>
    <row r="22" spans="2:7">
      <c r="B22" s="3" t="s">
        <v>485</v>
      </c>
      <c r="C22" s="3" t="s">
        <v>486</v>
      </c>
      <c r="D22" s="146"/>
      <c r="E22" s="146"/>
      <c r="F22" s="149">
        <v>48580</v>
      </c>
      <c r="G22" s="146"/>
    </row>
    <row r="23" spans="2:7">
      <c r="B23" s="3" t="s">
        <v>487</v>
      </c>
      <c r="C23" s="3" t="s">
        <v>488</v>
      </c>
      <c r="D23" s="146"/>
      <c r="E23" s="146"/>
      <c r="F23" s="149">
        <v>48945</v>
      </c>
      <c r="G23" s="146"/>
    </row>
    <row r="24" spans="2:7">
      <c r="B24" s="3" t="s">
        <v>489</v>
      </c>
      <c r="C24" s="3" t="s">
        <v>490</v>
      </c>
      <c r="D24" s="146"/>
      <c r="E24" s="146"/>
      <c r="F24" s="149">
        <v>49310</v>
      </c>
      <c r="G24" s="146"/>
    </row>
    <row r="25" spans="2:7">
      <c r="B25" s="3" t="s">
        <v>491</v>
      </c>
      <c r="C25" s="3" t="s">
        <v>492</v>
      </c>
      <c r="D25" s="146"/>
      <c r="E25" s="146"/>
      <c r="F25" s="149">
        <v>49675</v>
      </c>
      <c r="G25" s="146"/>
    </row>
    <row r="26" spans="2:7">
      <c r="B26" s="3" t="s">
        <v>493</v>
      </c>
      <c r="C26" s="3" t="s">
        <v>494</v>
      </c>
      <c r="D26" s="146"/>
      <c r="E26" s="146"/>
      <c r="F26" s="149">
        <v>50041</v>
      </c>
      <c r="G26" s="146"/>
    </row>
    <row r="27" spans="2:7">
      <c r="B27" s="3" t="s">
        <v>495</v>
      </c>
      <c r="C27" s="3" t="s">
        <v>496</v>
      </c>
      <c r="D27" s="146"/>
      <c r="E27" s="146"/>
      <c r="F27" s="149">
        <v>50406</v>
      </c>
    </row>
    <row r="28" spans="2:7">
      <c r="D28" s="146"/>
      <c r="E28" s="146"/>
      <c r="F28" s="149">
        <v>50771</v>
      </c>
      <c r="G28" s="146"/>
    </row>
    <row r="29" spans="2:7">
      <c r="D29" s="146"/>
      <c r="E29" s="146"/>
      <c r="F29" s="149">
        <v>51136</v>
      </c>
      <c r="G29" s="146"/>
    </row>
    <row r="30" spans="2:7">
      <c r="D30" s="146"/>
      <c r="E30" s="146"/>
      <c r="F30" s="149">
        <v>51502</v>
      </c>
      <c r="G30" s="146"/>
    </row>
    <row r="31" spans="2:7">
      <c r="D31" s="146"/>
      <c r="E31" s="146"/>
      <c r="F31" s="149">
        <v>51867</v>
      </c>
      <c r="G31" s="146"/>
    </row>
    <row r="32" spans="2:7">
      <c r="D32" s="146"/>
      <c r="E32" s="146"/>
      <c r="F32" s="149">
        <v>52232</v>
      </c>
      <c r="G32" s="146"/>
    </row>
    <row r="33" spans="4:7">
      <c r="D33" s="146"/>
      <c r="E33" s="146"/>
      <c r="F33" s="149">
        <v>52597</v>
      </c>
      <c r="G33" s="146"/>
    </row>
    <row r="34" spans="4:7">
      <c r="D34" s="146"/>
      <c r="E34" s="146"/>
      <c r="F34" s="149">
        <v>52963</v>
      </c>
      <c r="G34" s="146"/>
    </row>
    <row r="35" spans="4:7">
      <c r="D35" s="146"/>
      <c r="E35" s="146"/>
      <c r="F35" s="149">
        <v>53328</v>
      </c>
      <c r="G35" s="146"/>
    </row>
    <row r="36" spans="4:7">
      <c r="D36" s="146"/>
      <c r="E36" s="146"/>
      <c r="F36" s="149">
        <v>53693</v>
      </c>
      <c r="G36" s="146"/>
    </row>
    <row r="37" spans="4:7">
      <c r="D37" s="146"/>
      <c r="E37" s="146"/>
      <c r="F37" s="149">
        <v>54058</v>
      </c>
      <c r="G37" s="146"/>
    </row>
    <row r="38" spans="4:7">
      <c r="D38" s="146"/>
      <c r="E38" s="146"/>
      <c r="F38" s="149">
        <v>54424</v>
      </c>
      <c r="G38" s="146"/>
    </row>
    <row r="39" spans="4:7">
      <c r="D39" s="146"/>
      <c r="E39" s="146"/>
      <c r="F39" s="149">
        <v>54789</v>
      </c>
      <c r="G39" s="146"/>
    </row>
    <row r="40" spans="4:7">
      <c r="D40" s="146"/>
      <c r="E40" s="146"/>
      <c r="F40" s="146"/>
      <c r="G40" s="146"/>
    </row>
    <row r="41" spans="4:7">
      <c r="D41" s="146"/>
      <c r="E41" s="146"/>
      <c r="F41" s="146"/>
      <c r="G41" s="146"/>
    </row>
    <row r="42" spans="4:7">
      <c r="D42" s="146"/>
      <c r="E42" s="146"/>
      <c r="F42" s="146"/>
      <c r="G42" s="146"/>
    </row>
    <row r="43" spans="4:7">
      <c r="D43" s="146"/>
      <c r="E43" s="146"/>
      <c r="F43" s="146"/>
      <c r="G43" s="146"/>
    </row>
    <row r="44" spans="4:7">
      <c r="D44" s="146"/>
      <c r="E44" s="146"/>
      <c r="F44" s="146"/>
      <c r="G44" s="146"/>
    </row>
    <row r="45" spans="4:7">
      <c r="D45" s="146"/>
      <c r="E45" s="146"/>
      <c r="F45" s="146"/>
      <c r="G45" s="146"/>
    </row>
    <row r="46" spans="4:7">
      <c r="D46" s="146"/>
      <c r="E46" s="146"/>
      <c r="F46" s="146"/>
      <c r="G46" s="146"/>
    </row>
    <row r="47" spans="4:7">
      <c r="D47" s="146"/>
      <c r="E47" s="146"/>
      <c r="F47" s="146"/>
      <c r="G47" s="146"/>
    </row>
    <row r="48" spans="4:7">
      <c r="D48" s="146"/>
      <c r="E48" s="146"/>
      <c r="F48" s="146"/>
      <c r="G48" s="146"/>
    </row>
    <row r="49" spans="4:7">
      <c r="D49" s="146"/>
      <c r="E49" s="146"/>
      <c r="F49" s="146"/>
      <c r="G49" s="146"/>
    </row>
    <row r="50" spans="4:7">
      <c r="D50" s="146"/>
      <c r="E50" s="146"/>
      <c r="F50" s="146"/>
      <c r="G50" s="146"/>
    </row>
    <row r="51" spans="4:7">
      <c r="D51" s="146"/>
      <c r="E51" s="146"/>
      <c r="F51" s="146"/>
      <c r="G51" s="146"/>
    </row>
    <row r="52" spans="4:7">
      <c r="D52" s="146"/>
      <c r="E52" s="146"/>
      <c r="F52" s="146"/>
      <c r="G52" s="146"/>
    </row>
    <row r="53" spans="4:7">
      <c r="D53" s="146"/>
      <c r="E53" s="146"/>
      <c r="F53" s="146"/>
      <c r="G53" s="146"/>
    </row>
    <row r="54" spans="4:7">
      <c r="D54" s="146"/>
      <c r="E54" s="146"/>
      <c r="F54" s="146"/>
      <c r="G54" s="146"/>
    </row>
    <row r="55" spans="4:7">
      <c r="D55" s="146"/>
      <c r="E55" s="146"/>
      <c r="F55" s="146"/>
      <c r="G55" s="146"/>
    </row>
    <row r="56" spans="4:7">
      <c r="D56" s="146"/>
      <c r="E56" s="146"/>
      <c r="F56" s="146"/>
    </row>
    <row r="57" spans="4:7">
      <c r="D57" s="146"/>
      <c r="E57" s="146"/>
      <c r="F57" s="146"/>
    </row>
    <row r="58" spans="4:7">
      <c r="D58" s="146"/>
      <c r="E58" s="146"/>
      <c r="F58" s="146"/>
    </row>
    <row r="59" spans="4:7">
      <c r="D59" s="146"/>
      <c r="E59" s="146"/>
      <c r="F59" s="146"/>
    </row>
    <row r="60" spans="4:7">
      <c r="D60" s="146"/>
      <c r="E60" s="146"/>
      <c r="F60" s="146"/>
    </row>
    <row r="61" spans="4:7">
      <c r="D61" s="146"/>
      <c r="E61" s="146"/>
      <c r="F61" s="146"/>
    </row>
    <row r="62" spans="4:7">
      <c r="D62" s="146"/>
      <c r="E62" s="146"/>
      <c r="F62" s="146"/>
    </row>
    <row r="63" spans="4:7">
      <c r="D63" s="146"/>
      <c r="E63" s="146"/>
      <c r="F63" s="146"/>
    </row>
    <row r="64" spans="4:7">
      <c r="D64" s="146"/>
      <c r="E64" s="146"/>
      <c r="F64" s="146"/>
    </row>
    <row r="65" spans="4:6">
      <c r="D65" s="146"/>
      <c r="E65" s="146"/>
      <c r="F65" s="146"/>
    </row>
    <row r="66" spans="4:6">
      <c r="D66" s="146"/>
      <c r="E66" s="146"/>
      <c r="F66" s="146"/>
    </row>
    <row r="67" spans="4:6">
      <c r="D67" s="146"/>
      <c r="E67" s="146"/>
      <c r="F67" s="146"/>
    </row>
    <row r="68" spans="4:6">
      <c r="F68" s="146"/>
    </row>
    <row r="69" spans="4:6">
      <c r="F69" s="146"/>
    </row>
    <row r="70" spans="4:6">
      <c r="F70" s="146"/>
    </row>
    <row r="71" spans="4:6">
      <c r="F71" s="146"/>
    </row>
    <row r="72" spans="4:6">
      <c r="F72" s="146"/>
    </row>
    <row r="73" spans="4:6">
      <c r="F73" s="146"/>
    </row>
    <row r="74" spans="4:6">
      <c r="F74" s="146"/>
    </row>
    <row r="75" spans="4:6">
      <c r="F75" s="146"/>
    </row>
    <row r="76" spans="4:6">
      <c r="F76" s="146"/>
    </row>
    <row r="77" spans="4:6">
      <c r="F77" s="146"/>
    </row>
    <row r="78" spans="4:6">
      <c r="F78" s="146"/>
    </row>
    <row r="79" spans="4:6">
      <c r="F79" s="146"/>
    </row>
    <row r="80" spans="4:6">
      <c r="F80" s="146"/>
    </row>
    <row r="81" spans="6:6">
      <c r="F81" s="146"/>
    </row>
    <row r="82" spans="6:6">
      <c r="F82" s="146"/>
    </row>
    <row r="83" spans="6:6">
      <c r="F83" s="146"/>
    </row>
    <row r="84" spans="6:6">
      <c r="F84" s="146"/>
    </row>
    <row r="85" spans="6:6">
      <c r="F85" s="146"/>
    </row>
    <row r="86" spans="6:6">
      <c r="F86" s="146"/>
    </row>
    <row r="87" spans="6:6">
      <c r="F87" s="146"/>
    </row>
    <row r="88" spans="6:6">
      <c r="F88" s="146"/>
    </row>
    <row r="89" spans="6:6">
      <c r="F89" s="146"/>
    </row>
    <row r="90" spans="6:6">
      <c r="F90" s="146"/>
    </row>
    <row r="91" spans="6:6">
      <c r="F91" s="146"/>
    </row>
    <row r="92" spans="6:6">
      <c r="F92" s="146"/>
    </row>
    <row r="93" spans="6:6">
      <c r="F93" s="146"/>
    </row>
    <row r="94" spans="6:6">
      <c r="F94" s="146"/>
    </row>
    <row r="95" spans="6:6">
      <c r="F95" s="146"/>
    </row>
    <row r="96" spans="6:6">
      <c r="F96" s="146"/>
    </row>
    <row r="97" spans="6:6">
      <c r="F97" s="146"/>
    </row>
    <row r="98" spans="6:6">
      <c r="F98" s="146"/>
    </row>
    <row r="99" spans="6:6">
      <c r="F99" s="146"/>
    </row>
    <row r="100" spans="6:6">
      <c r="F100" s="146"/>
    </row>
    <row r="101" spans="6:6">
      <c r="F101" s="146"/>
    </row>
    <row r="102" spans="6:6">
      <c r="F102" s="146"/>
    </row>
    <row r="103" spans="6:6">
      <c r="F103" s="146"/>
    </row>
    <row r="104" spans="6:6">
      <c r="F104" s="146"/>
    </row>
    <row r="105" spans="6:6">
      <c r="F105" s="146"/>
    </row>
    <row r="106" spans="6:6">
      <c r="F106" s="146"/>
    </row>
    <row r="107" spans="6:6">
      <c r="F107" s="146"/>
    </row>
    <row r="108" spans="6:6">
      <c r="F108" s="146"/>
    </row>
    <row r="109" spans="6:6">
      <c r="F109" s="146"/>
    </row>
    <row r="110" spans="6:6">
      <c r="F110" s="146"/>
    </row>
    <row r="111" spans="6:6">
      <c r="F111" s="146"/>
    </row>
    <row r="112" spans="6:6">
      <c r="F112" s="146"/>
    </row>
    <row r="113" spans="6:6">
      <c r="F113" s="146"/>
    </row>
    <row r="114" spans="6:6">
      <c r="F114" s="146"/>
    </row>
    <row r="115" spans="6:6">
      <c r="F115" s="146"/>
    </row>
    <row r="116" spans="6:6">
      <c r="F116" s="146"/>
    </row>
    <row r="117" spans="6:6">
      <c r="F117" s="146"/>
    </row>
    <row r="118" spans="6:6">
      <c r="F118" s="146"/>
    </row>
    <row r="119" spans="6:6">
      <c r="F119" s="146"/>
    </row>
    <row r="120" spans="6:6">
      <c r="F120" s="146"/>
    </row>
    <row r="121" spans="6:6">
      <c r="F121" s="146"/>
    </row>
    <row r="122" spans="6:6">
      <c r="F122" s="146"/>
    </row>
    <row r="123" spans="6:6">
      <c r="F123" s="146"/>
    </row>
    <row r="124" spans="6:6">
      <c r="F124" s="146"/>
    </row>
    <row r="125" spans="6:6">
      <c r="F125" s="146"/>
    </row>
    <row r="126" spans="6:6">
      <c r="F126" s="146"/>
    </row>
    <row r="127" spans="6:6">
      <c r="F127" s="146"/>
    </row>
    <row r="128" spans="6:6">
      <c r="F128" s="146"/>
    </row>
    <row r="129" spans="6:6">
      <c r="F129" s="146"/>
    </row>
    <row r="130" spans="6:6">
      <c r="F130" s="146"/>
    </row>
    <row r="131" spans="6:6">
      <c r="F131" s="146"/>
    </row>
    <row r="132" spans="6:6">
      <c r="F132" s="146"/>
    </row>
    <row r="133" spans="6:6">
      <c r="F133" s="146"/>
    </row>
    <row r="134" spans="6:6">
      <c r="F134" s="146"/>
    </row>
    <row r="135" spans="6:6">
      <c r="F135" s="146"/>
    </row>
    <row r="136" spans="6:6">
      <c r="F136" s="146"/>
    </row>
    <row r="137" spans="6:6">
      <c r="F137" s="146"/>
    </row>
    <row r="138" spans="6:6">
      <c r="F138" s="146"/>
    </row>
    <row r="139" spans="6:6">
      <c r="F139" s="146"/>
    </row>
    <row r="140" spans="6:6">
      <c r="F140" s="146"/>
    </row>
    <row r="141" spans="6:6">
      <c r="F141" s="146"/>
    </row>
    <row r="142" spans="6:6">
      <c r="F142" s="146"/>
    </row>
    <row r="143" spans="6:6">
      <c r="F143" s="146"/>
    </row>
    <row r="144" spans="6:6">
      <c r="F144" s="146"/>
    </row>
    <row r="145" spans="6:9">
      <c r="F145" s="146"/>
    </row>
    <row r="146" spans="6:9">
      <c r="F146" s="146"/>
    </row>
    <row r="147" spans="6:9">
      <c r="F147" s="146"/>
    </row>
    <row r="148" spans="6:9">
      <c r="F148" s="146"/>
    </row>
    <row r="149" spans="6:9">
      <c r="F149" s="146"/>
    </row>
    <row r="150" spans="6:9">
      <c r="F150" s="146"/>
    </row>
    <row r="151" spans="6:9">
      <c r="F151" s="146"/>
    </row>
    <row r="152" spans="6:9">
      <c r="F152" s="146"/>
    </row>
    <row r="153" spans="6:9">
      <c r="F153" s="146"/>
    </row>
    <row r="154" spans="6:9">
      <c r="F154" s="146"/>
    </row>
    <row r="155" spans="6:9">
      <c r="F155" s="146"/>
      <c r="I155" s="146"/>
    </row>
  </sheetData>
  <sheetProtection algorithmName="SHA-512" hashValue="yz0uGDevRddW59Tu3gI8TMXpaOrbGSvqpxXsMBSO0rZQ3gN4gbkJYrvbD9UWTJhK1e1Cm8QwIr4PeME1c4iNvg==" saltValue="1zSjGr1gxlQYHwzjFC+djg==" spinCount="100000" sheet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548"/>
  <sheetViews>
    <sheetView topLeftCell="A515" zoomScale="112" zoomScaleNormal="112" workbookViewId="0">
      <selection activeCell="G532" sqref="G532"/>
    </sheetView>
  </sheetViews>
  <sheetFormatPr defaultColWidth="9.42578125" defaultRowHeight="12.75"/>
  <cols>
    <col min="1" max="1" width="34" style="124" customWidth="1"/>
    <col min="2" max="2" width="7" style="127" customWidth="1"/>
    <col min="3" max="3" width="8.42578125" style="127" customWidth="1"/>
    <col min="4" max="16384" width="9.42578125" style="125"/>
  </cols>
  <sheetData>
    <row r="1" spans="1:4">
      <c r="A1" s="124" t="s">
        <v>412</v>
      </c>
      <c r="B1" s="125" t="s">
        <v>413</v>
      </c>
      <c r="C1" s="126" t="e">
        <f>VLOOKUP('COVER PAGE'!C7,Controls!$B$4:$C$27,2,FALSE)</f>
        <v>#N/A</v>
      </c>
      <c r="D1" s="127" t="str">
        <f>PAGE1!$J$11</f>
        <v>3n</v>
      </c>
    </row>
    <row r="2" spans="1:4">
      <c r="A2" s="128">
        <f>VLOOKUP('COVER PAGE'!F9,Controls!$D$4:$E$7,2,FALSE)</f>
        <v>9</v>
      </c>
      <c r="C2" s="128"/>
    </row>
    <row r="3" spans="1:4">
      <c r="A3" s="129">
        <f>'COVER PAGE'!$F$10</f>
        <v>45292</v>
      </c>
    </row>
    <row r="4" spans="1:4">
      <c r="A4" s="130" t="s">
        <v>414</v>
      </c>
      <c r="B4" s="127" t="s">
        <v>415</v>
      </c>
      <c r="C4" s="127" t="s">
        <v>416</v>
      </c>
    </row>
    <row r="5" spans="1:4">
      <c r="A5" s="131" t="e">
        <f>C1&amp;".E30.REM.PBSEC.APPR.LT300"</f>
        <v>#N/A</v>
      </c>
      <c r="B5" s="125">
        <f>ROUND(PAGE1!$G$27,5)</f>
        <v>0</v>
      </c>
      <c r="C5" s="125">
        <f>ROUND(PAGE1!$I$27,5)</f>
        <v>0</v>
      </c>
    </row>
    <row r="6" spans="1:4">
      <c r="A6" s="131" t="e">
        <f>C1&amp;".E30.REM.PBSEC.DISB.LT300"</f>
        <v>#N/A</v>
      </c>
      <c r="B6" s="125">
        <f>ROUND(PAGE1!$K$27,5)</f>
        <v>0</v>
      </c>
      <c r="C6" s="125">
        <f>ROUND(PAGE1!$M$27,5)</f>
        <v>0</v>
      </c>
    </row>
    <row r="7" spans="1:4">
      <c r="A7" s="131" t="e">
        <f>C1&amp;".E30.REM.PBSEC.OS.LT300"</f>
        <v>#N/A</v>
      </c>
      <c r="B7" s="125">
        <f>ROUND(PAGE1!$O$27,5)</f>
        <v>0</v>
      </c>
      <c r="C7" s="125">
        <f>ROUND(PAGE1!$Q$27,5)</f>
        <v>0</v>
      </c>
    </row>
    <row r="8" spans="1:4">
      <c r="A8" s="131" t="e">
        <f>C1&amp;".E30.REM.PBSEC.APPR.300TO450"</f>
        <v>#N/A</v>
      </c>
      <c r="B8" s="125">
        <f>ROUND(PAGE1!$G$28,5)</f>
        <v>0</v>
      </c>
      <c r="C8" s="125">
        <f>ROUND(PAGE1!$I$28,5)</f>
        <v>0</v>
      </c>
    </row>
    <row r="9" spans="1:4">
      <c r="A9" s="131" t="e">
        <f>C1&amp;".E30.REM.PBSEC.DISB.300TO450"</f>
        <v>#N/A</v>
      </c>
      <c r="B9" s="125">
        <f>ROUND(PAGE1!$K$28,5)</f>
        <v>0</v>
      </c>
      <c r="C9" s="125">
        <f>ROUND(PAGE1!$M$28,5)</f>
        <v>0</v>
      </c>
    </row>
    <row r="10" spans="1:4">
      <c r="A10" s="131" t="e">
        <f>C1&amp;".E30.REM.PBSEC.OS.300TO450"</f>
        <v>#N/A</v>
      </c>
      <c r="B10" s="125">
        <f>ROUND(PAGE1!$O$28,5)</f>
        <v>0</v>
      </c>
      <c r="C10" s="125">
        <f>ROUND(PAGE1!$Q$28,5)</f>
        <v>0</v>
      </c>
    </row>
    <row r="11" spans="1:4">
      <c r="A11" s="131" t="e">
        <f>C1&amp;".E30.REM.PBSEC.APPR.OVR450"</f>
        <v>#N/A</v>
      </c>
      <c r="B11" s="125">
        <f>ROUND(PAGE1!$G$29,5)</f>
        <v>0</v>
      </c>
      <c r="C11" s="125">
        <f>ROUND(PAGE1!$I$29,5)</f>
        <v>0</v>
      </c>
    </row>
    <row r="12" spans="1:4">
      <c r="A12" s="131" t="e">
        <f>C1&amp;".E30.REM.PBSEC.DISB.OVR450"</f>
        <v>#N/A</v>
      </c>
      <c r="B12" s="125">
        <f>ROUND(PAGE1!$K$29,5)</f>
        <v>0</v>
      </c>
      <c r="C12" s="125">
        <f>ROUND(PAGE1!$M$29,5)</f>
        <v>0</v>
      </c>
    </row>
    <row r="13" spans="1:4">
      <c r="A13" s="131" t="e">
        <f>C1&amp;".E30.REM.PBSEC.OS.OVR450"</f>
        <v>#N/A</v>
      </c>
      <c r="B13" s="125">
        <f>ROUND(PAGE1!$O$29,5)</f>
        <v>0</v>
      </c>
      <c r="C13" s="125">
        <f>ROUND(PAGE1!$Q$29,5)</f>
        <v>0</v>
      </c>
    </row>
    <row r="14" spans="1:4">
      <c r="A14" s="132" t="e">
        <f>C1&amp;".E30.REM.PBSEC.APPR.TTL"</f>
        <v>#N/A</v>
      </c>
      <c r="B14" s="125">
        <f>ROUND(PAGE1!$G$26,5)</f>
        <v>0</v>
      </c>
      <c r="C14" s="125">
        <f>ROUND(PAGE1!$I$26,5)</f>
        <v>0</v>
      </c>
    </row>
    <row r="15" spans="1:4">
      <c r="A15" s="132" t="e">
        <f>C1&amp;".E30.REM.PBSEC.DISB.TTL"</f>
        <v>#N/A</v>
      </c>
      <c r="B15" s="125">
        <f>ROUND(PAGE1!$K$26,5)</f>
        <v>0</v>
      </c>
      <c r="C15" s="125">
        <f>ROUND(PAGE1!$M$26,5)</f>
        <v>0</v>
      </c>
    </row>
    <row r="16" spans="1:4">
      <c r="A16" s="132" t="e">
        <f>C1&amp;".E30.REM.PBSEC.OS.TTL"</f>
        <v>#N/A</v>
      </c>
      <c r="B16" s="125">
        <f>ROUND(PAGE1!$O$26,5)</f>
        <v>0</v>
      </c>
      <c r="C16" s="125">
        <f>ROUND(PAGE1!$Q$26,5)</f>
        <v>0</v>
      </c>
    </row>
    <row r="17" spans="1:3">
      <c r="A17" s="131" t="e">
        <f>C1&amp;".E30.REM.PVFIN.APPR.LT300"</f>
        <v>#N/A</v>
      </c>
      <c r="B17" s="125">
        <f>ROUND(PAGE1!$G$33,5)</f>
        <v>0</v>
      </c>
      <c r="C17" s="125">
        <f>ROUND(PAGE1!$I$33,5)</f>
        <v>0</v>
      </c>
    </row>
    <row r="18" spans="1:3">
      <c r="A18" s="131" t="e">
        <f>C1&amp;".E30.REM.PVFIN.DISB.LT300"</f>
        <v>#N/A</v>
      </c>
      <c r="B18" s="125">
        <f>ROUND(PAGE1!$K$33,5)</f>
        <v>0</v>
      </c>
      <c r="C18" s="125">
        <f>ROUND(PAGE1!$M$33,5)</f>
        <v>0</v>
      </c>
    </row>
    <row r="19" spans="1:3">
      <c r="A19" s="131" t="e">
        <f>C1&amp;".E30.REM.PVFIN.OS.LT300"</f>
        <v>#N/A</v>
      </c>
      <c r="B19" s="125">
        <f>ROUND(PAGE1!$O$33,5)</f>
        <v>0</v>
      </c>
      <c r="C19" s="125">
        <f>ROUND(PAGE1!$Q$33,5)</f>
        <v>0</v>
      </c>
    </row>
    <row r="20" spans="1:3">
      <c r="A20" s="131" t="e">
        <f>C1&amp;".E30.REM.PVFIN.APPR.300TO450"</f>
        <v>#N/A</v>
      </c>
      <c r="B20" s="125">
        <f>ROUND(PAGE1!$G$34,5)</f>
        <v>0</v>
      </c>
      <c r="C20" s="125">
        <f>ROUND(PAGE1!$I$34,5)</f>
        <v>0</v>
      </c>
    </row>
    <row r="21" spans="1:3">
      <c r="A21" s="131" t="e">
        <f>C1&amp;".E30.REM.PVFIN.DISB.300TO450"</f>
        <v>#N/A</v>
      </c>
      <c r="B21" s="125">
        <f>ROUND(PAGE1!$K$34,5)</f>
        <v>0</v>
      </c>
      <c r="C21" s="125">
        <f>ROUND(PAGE1!$M$34,5)</f>
        <v>0</v>
      </c>
    </row>
    <row r="22" spans="1:3">
      <c r="A22" s="131" t="e">
        <f>C1&amp;".E30.REM.PVFIN.OS.300TO450"</f>
        <v>#N/A</v>
      </c>
      <c r="B22" s="125">
        <f>ROUND(PAGE1!$O$34,5)</f>
        <v>0</v>
      </c>
      <c r="C22" s="125">
        <f>ROUND(PAGE1!$Q$34,5)</f>
        <v>0</v>
      </c>
    </row>
    <row r="23" spans="1:3">
      <c r="A23" s="131" t="e">
        <f>C1&amp;".E30.REM.PVFIN.APPR.OVR450"</f>
        <v>#N/A</v>
      </c>
      <c r="B23" s="125">
        <f>ROUND(PAGE1!$G$35,5)</f>
        <v>0</v>
      </c>
      <c r="C23" s="125">
        <f>ROUND(PAGE1!$I$35,5)</f>
        <v>0</v>
      </c>
    </row>
    <row r="24" spans="1:3">
      <c r="A24" s="131" t="e">
        <f>C1&amp;".E30.REM.PVFIN.DISB.OVR450"</f>
        <v>#N/A</v>
      </c>
      <c r="B24" s="125">
        <f>ROUND(PAGE1!$K$35,5)</f>
        <v>0</v>
      </c>
      <c r="C24" s="125">
        <f>ROUND(PAGE1!$M$35,5)</f>
        <v>0</v>
      </c>
    </row>
    <row r="25" spans="1:3">
      <c r="A25" s="131" t="e">
        <f>C1&amp;".E30.REM.PVFIN.OS.OVR450"</f>
        <v>#N/A</v>
      </c>
      <c r="B25" s="125">
        <f>ROUND(PAGE1!$O$35,5)</f>
        <v>0</v>
      </c>
      <c r="C25" s="125">
        <f>ROUND(PAGE1!$Q$35,5)</f>
        <v>0</v>
      </c>
    </row>
    <row r="26" spans="1:3">
      <c r="A26" s="132" t="e">
        <f>C1&amp;".E30.REM.PVFIN.APPR.TTL"</f>
        <v>#N/A</v>
      </c>
      <c r="B26" s="125">
        <f>ROUND(PAGE1!$G$32,5)</f>
        <v>0</v>
      </c>
      <c r="C26" s="125">
        <f>ROUND(PAGE1!$I$32,5)</f>
        <v>0</v>
      </c>
    </row>
    <row r="27" spans="1:3">
      <c r="A27" s="132" t="e">
        <f>C1&amp;".E30.REM.PVFIN.DISB.TTL"</f>
        <v>#N/A</v>
      </c>
      <c r="B27" s="125">
        <f>ROUND(PAGE1!$K$32,5)</f>
        <v>0</v>
      </c>
      <c r="C27" s="125">
        <f>ROUND(PAGE1!$M$32,5)</f>
        <v>0</v>
      </c>
    </row>
    <row r="28" spans="1:3">
      <c r="A28" s="132" t="e">
        <f>C1&amp;".E30.REM.PVFIN.OS.TTL"</f>
        <v>#N/A</v>
      </c>
      <c r="B28" s="125">
        <f>ROUND(PAGE1!$O$32,5)</f>
        <v>0</v>
      </c>
      <c r="C28" s="125">
        <f>ROUND(PAGE1!$Q$32,5)</f>
        <v>0</v>
      </c>
    </row>
    <row r="29" spans="1:3">
      <c r="A29" s="131" t="e">
        <f>C1&amp;".E30.REM.IBUS.APPR.LT300"</f>
        <v>#N/A</v>
      </c>
      <c r="B29" s="125">
        <f>ROUND(PAGE1!$G$39,5)</f>
        <v>0</v>
      </c>
      <c r="C29" s="125">
        <f>ROUND(PAGE1!$I$39,5)</f>
        <v>0</v>
      </c>
    </row>
    <row r="30" spans="1:3">
      <c r="A30" s="131" t="e">
        <f>C1&amp;".E30.REM.IBUS.DISB.LT300"</f>
        <v>#N/A</v>
      </c>
      <c r="B30" s="125">
        <f>ROUND(PAGE1!$K$39,5)</f>
        <v>0</v>
      </c>
      <c r="C30" s="125">
        <f>ROUND(PAGE1!$M$39,5)</f>
        <v>0</v>
      </c>
    </row>
    <row r="31" spans="1:3">
      <c r="A31" s="131" t="e">
        <f>C1&amp;".E30.REM.IBUS.OS.LT300"</f>
        <v>#N/A</v>
      </c>
      <c r="B31" s="125">
        <f>ROUND(PAGE1!$O$39,5)</f>
        <v>0</v>
      </c>
      <c r="C31" s="125">
        <f>ROUND(PAGE1!$Q$39,5)</f>
        <v>0</v>
      </c>
    </row>
    <row r="32" spans="1:3">
      <c r="A32" s="131" t="e">
        <f>C1&amp;".E30.REM.IBUS.APPR.300TO450"</f>
        <v>#N/A</v>
      </c>
      <c r="B32" s="125">
        <f>ROUND(PAGE1!$G$40,5)</f>
        <v>0</v>
      </c>
      <c r="C32" s="125">
        <f>ROUND(PAGE1!$I$40,5)</f>
        <v>0</v>
      </c>
    </row>
    <row r="33" spans="1:3">
      <c r="A33" s="131" t="e">
        <f>C1&amp;".E30.REM.IBUS.DISB.300TO450"</f>
        <v>#N/A</v>
      </c>
      <c r="B33" s="125">
        <f>ROUND(PAGE1!$K$40,5)</f>
        <v>0</v>
      </c>
      <c r="C33" s="125">
        <f>ROUND(PAGE1!$M$40,5)</f>
        <v>0</v>
      </c>
    </row>
    <row r="34" spans="1:3">
      <c r="A34" s="131" t="e">
        <f>C1&amp;".E30.REM.IBUS.OS.300TO450"</f>
        <v>#N/A</v>
      </c>
      <c r="B34" s="125">
        <f>ROUND(PAGE1!$O$40,5)</f>
        <v>0</v>
      </c>
      <c r="C34" s="125">
        <f>ROUND(PAGE1!$Q$40,5)</f>
        <v>0</v>
      </c>
    </row>
    <row r="35" spans="1:3">
      <c r="A35" s="131" t="e">
        <f>C1&amp;".E30.REM.IBUS.APPR.OVR450"</f>
        <v>#N/A</v>
      </c>
      <c r="B35" s="125">
        <f>ROUND(PAGE1!$G$41,5)</f>
        <v>0</v>
      </c>
      <c r="C35" s="125">
        <f>ROUND(PAGE1!$I$41,5)</f>
        <v>0</v>
      </c>
    </row>
    <row r="36" spans="1:3">
      <c r="A36" s="131" t="e">
        <f>C1&amp;".E30.REM.IBUS.DISB.OVR450"</f>
        <v>#N/A</v>
      </c>
      <c r="B36" s="125">
        <f>ROUND(PAGE1!$K$41,5)</f>
        <v>0</v>
      </c>
      <c r="C36" s="125">
        <f>ROUND(PAGE1!$M$41,5)</f>
        <v>0</v>
      </c>
    </row>
    <row r="37" spans="1:3">
      <c r="A37" s="131" t="e">
        <f>C1&amp;".E30.REM.IBUS.OS.OVR450"</f>
        <v>#N/A</v>
      </c>
      <c r="B37" s="125">
        <f>ROUND(PAGE1!$O$41,5)</f>
        <v>0</v>
      </c>
      <c r="C37" s="125">
        <f>ROUND(PAGE1!$Q$41,5)</f>
        <v>0</v>
      </c>
    </row>
    <row r="38" spans="1:3">
      <c r="A38" s="132" t="e">
        <f>C1&amp;".E30.REM.IBUS.APPR.TTL"</f>
        <v>#N/A</v>
      </c>
      <c r="B38" s="125">
        <f>ROUND(PAGE1!$G$38,5)</f>
        <v>0</v>
      </c>
      <c r="C38" s="125">
        <f>ROUND(PAGE1!$I$38,5)</f>
        <v>0</v>
      </c>
    </row>
    <row r="39" spans="1:3">
      <c r="A39" s="132" t="e">
        <f>C1&amp;".E30.REM.IBUS.DISB.TTL"</f>
        <v>#N/A</v>
      </c>
      <c r="B39" s="125">
        <f>ROUND(PAGE1!$K$38,5)</f>
        <v>0</v>
      </c>
      <c r="C39" s="125">
        <f>ROUND(PAGE1!$M$38,5)</f>
        <v>0</v>
      </c>
    </row>
    <row r="40" spans="1:3">
      <c r="A40" s="132" t="e">
        <f>C1&amp;".E30.REM.IBUS.OS.TTL"</f>
        <v>#N/A</v>
      </c>
      <c r="B40" s="125">
        <f>ROUND(PAGE1!$O$38,5)</f>
        <v>0</v>
      </c>
      <c r="C40" s="125">
        <f>ROUND(PAGE1!$Q$38,5)</f>
        <v>0</v>
      </c>
    </row>
    <row r="41" spans="1:3">
      <c r="A41" s="131" t="e">
        <f>C1&amp;".E30.REM.UIBUS.APPR.LT300"</f>
        <v>#N/A</v>
      </c>
      <c r="B41" s="125">
        <f>ROUND(PAGE1!$G$45,5)</f>
        <v>0</v>
      </c>
      <c r="C41" s="125">
        <f>ROUND(PAGE1!$I$45,5)</f>
        <v>0</v>
      </c>
    </row>
    <row r="42" spans="1:3">
      <c r="A42" s="131" t="e">
        <f>C1&amp;".E30.REM.UIBUS.DISB.LT300"</f>
        <v>#N/A</v>
      </c>
      <c r="B42" s="125">
        <f>ROUND(PAGE1!$K$45,5)</f>
        <v>0</v>
      </c>
      <c r="C42" s="125">
        <f>ROUND(PAGE1!$M$45,5)</f>
        <v>0</v>
      </c>
    </row>
    <row r="43" spans="1:3">
      <c r="A43" s="131" t="e">
        <f>C1&amp;".E30.REM.UIBUS.OS.LT300"</f>
        <v>#N/A</v>
      </c>
      <c r="B43" s="125">
        <f>ROUND(PAGE1!$O$45,5)</f>
        <v>0</v>
      </c>
      <c r="C43" s="125">
        <f>ROUND(PAGE1!$Q$45,5)</f>
        <v>0</v>
      </c>
    </row>
    <row r="44" spans="1:3">
      <c r="A44" s="131" t="e">
        <f>C1&amp;".E30.REM.UIBUS.APPR.300TO450"</f>
        <v>#N/A</v>
      </c>
      <c r="B44" s="125">
        <f>ROUND(PAGE1!$G$46,5)</f>
        <v>0</v>
      </c>
      <c r="C44" s="125">
        <f>ROUND(PAGE1!$I$46,5)</f>
        <v>0</v>
      </c>
    </row>
    <row r="45" spans="1:3">
      <c r="A45" s="131" t="e">
        <f>C1&amp;".E30.REM.UIBUS.DISB.300TO450"</f>
        <v>#N/A</v>
      </c>
      <c r="B45" s="125">
        <f>ROUND(PAGE1!$K$46,5)</f>
        <v>0</v>
      </c>
      <c r="C45" s="125">
        <f>ROUND(PAGE1!$M$46,5)</f>
        <v>0</v>
      </c>
    </row>
    <row r="46" spans="1:3">
      <c r="A46" s="131" t="e">
        <f>C1&amp;".E30.REM.UIBUS.OS.300TO450"</f>
        <v>#N/A</v>
      </c>
      <c r="B46" s="125">
        <f>ROUND(PAGE1!$O$46,5)</f>
        <v>0</v>
      </c>
      <c r="C46" s="125">
        <f>ROUND(PAGE1!$Q$46,5)</f>
        <v>0</v>
      </c>
    </row>
    <row r="47" spans="1:3">
      <c r="A47" s="131" t="e">
        <f>C1&amp;".E30.REM.UIBUS.APPR.OVR450"</f>
        <v>#N/A</v>
      </c>
      <c r="B47" s="125">
        <f>ROUND(PAGE1!$G$47,5)</f>
        <v>0</v>
      </c>
      <c r="C47" s="125">
        <f>ROUND(PAGE1!$I$47,5)</f>
        <v>0</v>
      </c>
    </row>
    <row r="48" spans="1:3">
      <c r="A48" s="131" t="e">
        <f>C1&amp;".E30.REM.UIBUS.DISB.OVR450"</f>
        <v>#N/A</v>
      </c>
      <c r="B48" s="125">
        <f>ROUND(PAGE1!$K$47,5)</f>
        <v>0</v>
      </c>
      <c r="C48" s="125">
        <f>ROUND(PAGE1!$M$47,5)</f>
        <v>0</v>
      </c>
    </row>
    <row r="49" spans="1:3">
      <c r="A49" s="131" t="e">
        <f>C1&amp;".E30.REM.UIBUS.OS.OVR450"</f>
        <v>#N/A</v>
      </c>
      <c r="B49" s="125">
        <f>ROUND(PAGE1!$O$47,5)</f>
        <v>0</v>
      </c>
      <c r="C49" s="125">
        <f>ROUND(PAGE1!$Q$47,5)</f>
        <v>0</v>
      </c>
    </row>
    <row r="50" spans="1:3">
      <c r="A50" s="132" t="e">
        <f>C1&amp;".E30.REM.UIBUS.APPR.TTL"</f>
        <v>#N/A</v>
      </c>
      <c r="B50" s="125">
        <f>ROUND(PAGE1!$G$44,5)</f>
        <v>0</v>
      </c>
      <c r="C50" s="125">
        <f>ROUND(PAGE1!$I$44,5)</f>
        <v>0</v>
      </c>
    </row>
    <row r="51" spans="1:3">
      <c r="A51" s="132" t="e">
        <f>C1&amp;".E30.REM.UIBUS.DISB.TTL"</f>
        <v>#N/A</v>
      </c>
      <c r="B51" s="125">
        <f>ROUND(PAGE1!$K$44,5)</f>
        <v>0</v>
      </c>
      <c r="C51" s="125">
        <f>ROUND(PAGE1!$M$44,5)</f>
        <v>0</v>
      </c>
    </row>
    <row r="52" spans="1:3">
      <c r="A52" s="132" t="e">
        <f>C1&amp;".E30.REM.UIBUS.OS.TTL"</f>
        <v>#N/A</v>
      </c>
      <c r="B52" s="125">
        <f>ROUND(PAGE1!$O$44,5)</f>
        <v>0</v>
      </c>
      <c r="C52" s="125">
        <f>ROUND(PAGE1!$Q$44,5)</f>
        <v>0</v>
      </c>
    </row>
    <row r="53" spans="1:3">
      <c r="A53" s="131" t="e">
        <f>C1&amp;".E30.REM.CONSM.APPR.LT300"</f>
        <v>#N/A</v>
      </c>
      <c r="B53" s="125">
        <f>ROUND(PAGE1!$G$50,5)</f>
        <v>0</v>
      </c>
      <c r="C53" s="125">
        <f>ROUND(PAGE1!$I$50,5)</f>
        <v>0</v>
      </c>
    </row>
    <row r="54" spans="1:3">
      <c r="A54" s="131" t="e">
        <f>C1&amp;".E30.REM.CONSM.DISB.LT300"</f>
        <v>#N/A</v>
      </c>
      <c r="B54" s="125">
        <f>ROUND(PAGE1!$K$50,5)</f>
        <v>0</v>
      </c>
      <c r="C54" s="125">
        <f>ROUND(PAGE1!$M$50,5)</f>
        <v>0</v>
      </c>
    </row>
    <row r="55" spans="1:3">
      <c r="A55" s="131" t="e">
        <f>C1&amp;".E30.REM.CONSM.OS.LT300"</f>
        <v>#N/A</v>
      </c>
      <c r="B55" s="125">
        <f>ROUND(PAGE1!$O$50,5)</f>
        <v>0</v>
      </c>
      <c r="C55" s="125">
        <f>ROUND(PAGE1!$Q$50,5)</f>
        <v>0</v>
      </c>
    </row>
    <row r="56" spans="1:3">
      <c r="A56" s="131" t="e">
        <f>C1&amp;".E30.REM.CONSM.APPR.300TO450"</f>
        <v>#N/A</v>
      </c>
      <c r="B56" s="125">
        <f>ROUND(PAGE1!$G$51,5)</f>
        <v>0</v>
      </c>
      <c r="C56" s="125">
        <f>ROUND(PAGE1!$I$51,5)</f>
        <v>0</v>
      </c>
    </row>
    <row r="57" spans="1:3">
      <c r="A57" s="131" t="e">
        <f>C1&amp;".E30.REM.CONSM.DISB.300TO450"</f>
        <v>#N/A</v>
      </c>
      <c r="B57" s="125">
        <f>ROUND(PAGE1!$K$51,5)</f>
        <v>0</v>
      </c>
      <c r="C57" s="125">
        <f>ROUND(PAGE1!$M$51,5)</f>
        <v>0</v>
      </c>
    </row>
    <row r="58" spans="1:3">
      <c r="A58" s="131" t="e">
        <f>C1&amp;".E30.REM.CONSM.OS.300TO450"</f>
        <v>#N/A</v>
      </c>
      <c r="B58" s="125">
        <f>ROUND(PAGE1!$O$51,5)</f>
        <v>0</v>
      </c>
      <c r="C58" s="125">
        <f>ROUND(PAGE1!$Q$51,5)</f>
        <v>0</v>
      </c>
    </row>
    <row r="59" spans="1:3">
      <c r="A59" s="131" t="e">
        <f>C1&amp;".E30.REM.CONSM.APPR.OVR450"</f>
        <v>#N/A</v>
      </c>
      <c r="B59" s="125">
        <f>ROUND(PAGE1!$G$52,5)</f>
        <v>0</v>
      </c>
      <c r="C59" s="125">
        <f>ROUND(PAGE1!$I$52,5)</f>
        <v>0</v>
      </c>
    </row>
    <row r="60" spans="1:3">
      <c r="A60" s="131" t="e">
        <f>C1&amp;".E30.REM.CONSM.DISB.OVR450"</f>
        <v>#N/A</v>
      </c>
      <c r="B60" s="125">
        <f>ROUND(PAGE1!$K$52,5)</f>
        <v>0</v>
      </c>
      <c r="C60" s="125">
        <f>ROUND(PAGE1!$M$52,5)</f>
        <v>0</v>
      </c>
    </row>
    <row r="61" spans="1:3">
      <c r="A61" s="131" t="e">
        <f>C1&amp;".E30.REM.CONSM.OS.OVR450"</f>
        <v>#N/A</v>
      </c>
      <c r="B61" s="125">
        <f>ROUND(PAGE1!$O$52,5)</f>
        <v>0</v>
      </c>
      <c r="C61" s="125">
        <f>ROUND(PAGE1!$Q$52,5)</f>
        <v>0</v>
      </c>
    </row>
    <row r="62" spans="1:3">
      <c r="A62" s="132" t="e">
        <f>C1&amp;".E30.REM.CONSM.APPR.TTL"</f>
        <v>#N/A</v>
      </c>
      <c r="B62" s="125">
        <f>ROUND(PAGE1!$G$49,5)</f>
        <v>0</v>
      </c>
      <c r="C62" s="125">
        <f>ROUND(PAGE1!$I$49,5)</f>
        <v>0</v>
      </c>
    </row>
    <row r="63" spans="1:3">
      <c r="A63" s="132" t="e">
        <f>C1&amp;".E30.REM.CONSM.DISB.TTL"</f>
        <v>#N/A</v>
      </c>
      <c r="B63" s="125">
        <f>ROUND(PAGE1!$K$49,5)</f>
        <v>0</v>
      </c>
      <c r="C63" s="125">
        <f>ROUND(PAGE1!$M$49,5)</f>
        <v>0</v>
      </c>
    </row>
    <row r="64" spans="1:3">
      <c r="A64" s="132" t="e">
        <f>C1&amp;".E30.REM.CONSM.OS.TTL"</f>
        <v>#N/A</v>
      </c>
      <c r="B64" s="125">
        <f>ROUND(PAGE1!$O$49,5)</f>
        <v>0</v>
      </c>
      <c r="C64" s="125">
        <f>ROUND(PAGE1!$Q$49,5)</f>
        <v>0</v>
      </c>
    </row>
    <row r="65" spans="1:3">
      <c r="A65" s="131" t="e">
        <f>C1&amp;".E30.REM.RENOV.APPR."</f>
        <v>#N/A</v>
      </c>
      <c r="B65" s="125">
        <f>ROUND(PAGE2!$G$21,5)</f>
        <v>0</v>
      </c>
      <c r="C65" s="125">
        <f>ROUND(PAGE2!$I$21,5)</f>
        <v>0</v>
      </c>
    </row>
    <row r="66" spans="1:3">
      <c r="A66" s="131" t="e">
        <f>C1&amp;".E30.REM.RENOV.DISB."</f>
        <v>#N/A</v>
      </c>
      <c r="B66" s="125">
        <f>ROUND(PAGE2!$K$21,5)</f>
        <v>0</v>
      </c>
      <c r="C66" s="125">
        <f>ROUND(PAGE2!$M$21,5)</f>
        <v>0</v>
      </c>
    </row>
    <row r="67" spans="1:3">
      <c r="A67" s="131" t="e">
        <f>C1&amp;".E30.REM.RENOV.OS."</f>
        <v>#N/A</v>
      </c>
      <c r="B67" s="125">
        <f>ROUND(PAGE2!$O$21,5)</f>
        <v>0</v>
      </c>
      <c r="C67" s="125">
        <f>ROUND(PAGE2!$Q$21,5)</f>
        <v>0</v>
      </c>
    </row>
    <row r="68" spans="1:3">
      <c r="A68" s="131" t="e">
        <f>C1&amp;".E30.REM.NEW_HOUSE.APPR."</f>
        <v>#N/A</v>
      </c>
      <c r="B68" s="125">
        <f>ROUND(PAGE2!$G$24,5)</f>
        <v>0</v>
      </c>
      <c r="C68" s="125">
        <f>ROUND(PAGE2!$I$24,5)</f>
        <v>0</v>
      </c>
    </row>
    <row r="69" spans="1:3">
      <c r="A69" s="131" t="e">
        <f>C1&amp;".E30.REM.NEW_HOUSE.DISB."</f>
        <v>#N/A</v>
      </c>
      <c r="B69" s="125">
        <f>ROUND(PAGE2!$K$24,5)</f>
        <v>0</v>
      </c>
      <c r="C69" s="125">
        <f>ROUND(PAGE2!$M$24,5)</f>
        <v>0</v>
      </c>
    </row>
    <row r="70" spans="1:3">
      <c r="A70" s="131" t="e">
        <f>C1&amp;".E30.REM.NEW_HOUSE.OS."</f>
        <v>#N/A</v>
      </c>
      <c r="B70" s="125">
        <f>ROUND(PAGE2!$O$24,5)</f>
        <v>0</v>
      </c>
      <c r="C70" s="125">
        <f>ROUND(PAGE2!$Q$24,5)</f>
        <v>0</v>
      </c>
    </row>
    <row r="71" spans="1:3">
      <c r="A71" s="131" t="e">
        <f>C1&amp;".E30.REM.EXIST_HOUSE.APPR."</f>
        <v>#N/A</v>
      </c>
      <c r="B71" s="125">
        <f>ROUND(PAGE2!$G$27,5)</f>
        <v>0</v>
      </c>
      <c r="C71" s="125">
        <f>ROUND(PAGE2!$I$27,5)</f>
        <v>0</v>
      </c>
    </row>
    <row r="72" spans="1:3">
      <c r="A72" s="131" t="e">
        <f>C1&amp;".E30.REM.EXIST_HOUSE.DISB."</f>
        <v>#N/A</v>
      </c>
      <c r="B72" s="125">
        <f>ROUND(PAGE2!$K$27,5)</f>
        <v>0</v>
      </c>
      <c r="C72" s="125">
        <f>ROUND(PAGE2!$M$27,5)</f>
        <v>0</v>
      </c>
    </row>
    <row r="73" spans="1:3">
      <c r="A73" s="131" t="e">
        <f>C1&amp;".E30.REM.EXIST_HOUSE.OS."</f>
        <v>#N/A</v>
      </c>
      <c r="B73" s="125">
        <f>ROUND(PAGE2!$O$27,5)</f>
        <v>0</v>
      </c>
      <c r="C73" s="125">
        <f>ROUND(PAGE2!$Q$27,5)</f>
        <v>0</v>
      </c>
    </row>
    <row r="74" spans="1:3">
      <c r="A74" s="131" t="e">
        <f>C1&amp;".E30.REM.LAND.APPR."</f>
        <v>#N/A</v>
      </c>
      <c r="B74" s="125">
        <f>ROUND(PAGE2!$G$35,5)</f>
        <v>0</v>
      </c>
      <c r="C74" s="125">
        <f>ROUND(PAGE2!$I$35,5)</f>
        <v>0</v>
      </c>
    </row>
    <row r="75" spans="1:3">
      <c r="A75" s="131" t="e">
        <f>C1&amp;".E30.REM.LAND.DISB."</f>
        <v>#N/A</v>
      </c>
      <c r="B75" s="125">
        <f>ROUND(PAGE2!$K$35,5)</f>
        <v>0</v>
      </c>
      <c r="C75" s="125">
        <f>ROUND(PAGE2!$M$35,5)</f>
        <v>0</v>
      </c>
    </row>
    <row r="76" spans="1:3">
      <c r="A76" s="131" t="e">
        <f>C1&amp;".E30.REM.LAND.OS."</f>
        <v>#N/A</v>
      </c>
      <c r="B76" s="125">
        <f>ROUND(PAGE2!$O$35,5)</f>
        <v>0</v>
      </c>
      <c r="C76" s="125">
        <f>ROUND(PAGE2!$Q$35,5)</f>
        <v>0</v>
      </c>
    </row>
    <row r="77" spans="1:3">
      <c r="A77" s="131" t="e">
        <f>C1&amp;".E30.REM.OTHER.APPR."</f>
        <v>#N/A</v>
      </c>
      <c r="B77" s="125">
        <f>ROUND(PAGE2!$G$37,5)</f>
        <v>0</v>
      </c>
      <c r="C77" s="125">
        <f>ROUND(PAGE2!$I$37,5)</f>
        <v>0</v>
      </c>
    </row>
    <row r="78" spans="1:3">
      <c r="A78" s="131" t="e">
        <f>C1&amp;".E30.REM.OTHER.DISB."</f>
        <v>#N/A</v>
      </c>
      <c r="B78" s="125">
        <f>ROUND(PAGE2!$K$37,5)</f>
        <v>0</v>
      </c>
      <c r="C78" s="125">
        <f>ROUND(PAGE2!$M$37,5)</f>
        <v>0</v>
      </c>
    </row>
    <row r="79" spans="1:3">
      <c r="A79" s="131" t="e">
        <f>C1&amp;".E30.REM.OTHER.OS."</f>
        <v>#N/A</v>
      </c>
      <c r="B79" s="125">
        <f>ROUND(PAGE2!$O$37,5)</f>
        <v>0</v>
      </c>
      <c r="C79" s="125">
        <f>ROUND(PAGE2!$Q$37,5)</f>
        <v>0</v>
      </c>
    </row>
    <row r="80" spans="1:3">
      <c r="A80" s="131" t="e">
        <f>C1&amp;".E30.REM.LNS.RESCH."</f>
        <v>#N/A</v>
      </c>
      <c r="B80" s="125">
        <f>ROUND(PAGE2!$O$33,5)</f>
        <v>0</v>
      </c>
      <c r="C80" s="125">
        <f>ROUND(PAGE2!$Q$33,5)</f>
        <v>0</v>
      </c>
    </row>
    <row r="81" spans="1:4">
      <c r="A81" s="130" t="s">
        <v>417</v>
      </c>
      <c r="B81" s="125" t="s">
        <v>415</v>
      </c>
      <c r="C81" s="125"/>
    </row>
    <row r="82" spans="1:4">
      <c r="A82" s="131" t="e">
        <f>C1&amp;".E30.REM.LN_APP.REC.RES"</f>
        <v>#N/A</v>
      </c>
      <c r="B82" s="125">
        <f>ROUND(PAGE2!$C$46,5)</f>
        <v>0</v>
      </c>
      <c r="C82" s="125"/>
    </row>
    <row r="83" spans="1:4">
      <c r="A83" s="131" t="e">
        <f>C1&amp;".E30.REM.LN_APP.REC.NRES"</f>
        <v>#N/A</v>
      </c>
      <c r="B83" s="125">
        <f>ROUND(PAGE2!$C$48,5)</f>
        <v>0</v>
      </c>
      <c r="C83" s="125"/>
    </row>
    <row r="84" spans="1:4">
      <c r="A84" s="130" t="s">
        <v>418</v>
      </c>
      <c r="B84" s="125" t="s">
        <v>415</v>
      </c>
      <c r="C84" s="125" t="s">
        <v>416</v>
      </c>
    </row>
    <row r="85" spans="1:4" ht="25.5" customHeight="1">
      <c r="A85" s="131" t="e">
        <f>C1&amp;".E30.REM_HMB.EXIST_MTG.SALES.TYPE"</f>
        <v>#N/A</v>
      </c>
      <c r="B85" s="125">
        <f>ROUND(PAGE3!$F$19,5)</f>
        <v>0</v>
      </c>
      <c r="C85" s="125">
        <f>ROUND(PAGE3!$H$19,5)</f>
        <v>0</v>
      </c>
    </row>
    <row r="86" spans="1:4" ht="25.5" customHeight="1">
      <c r="A86" s="131" t="e">
        <f>C1&amp;".E30.REM_HMB.EXIST_MTG.REPAY.TYPE"</f>
        <v>#N/A</v>
      </c>
      <c r="B86" s="125">
        <f>ROUND(PAGE3!$J$19,5)</f>
        <v>0</v>
      </c>
      <c r="C86" s="125">
        <f>ROUND(PAGE3!$L$19,5)</f>
        <v>0</v>
      </c>
    </row>
    <row r="87" spans="1:4">
      <c r="A87" s="131" t="e">
        <f>C1&amp;".E30.REM_HMB.EXIST_MTG.END.TYPE"</f>
        <v>#N/A</v>
      </c>
      <c r="B87" s="125">
        <f>ROUND(PAGE3!$N$19,5)</f>
        <v>0</v>
      </c>
      <c r="C87" s="125">
        <f>ROUND(PAGE3!$P$19,5)</f>
        <v>0</v>
      </c>
    </row>
    <row r="88" spans="1:4" ht="25.5" customHeight="1">
      <c r="A88" s="131" t="e">
        <f>C1&amp;".E30.REM_HMB.NEW_CONST.SALES.TYPE"</f>
        <v>#N/A</v>
      </c>
      <c r="B88" s="125">
        <f>ROUND(PAGE3!$F$21,5)</f>
        <v>0</v>
      </c>
      <c r="C88" s="125">
        <f>ROUND(PAGE3!$H$21,5)</f>
        <v>0</v>
      </c>
    </row>
    <row r="89" spans="1:4" ht="25.5" customHeight="1">
      <c r="A89" s="131" t="e">
        <f>C1&amp;".E30.REM_HMB.NEW_CONST.REPAY.TYPE"</f>
        <v>#N/A</v>
      </c>
      <c r="B89" s="125">
        <f>ROUND(PAGE3!$J$21,5)</f>
        <v>0</v>
      </c>
      <c r="C89" s="125">
        <f>ROUND(PAGE3!$L$21,5)</f>
        <v>0</v>
      </c>
    </row>
    <row r="90" spans="1:4">
      <c r="A90" s="131" t="e">
        <f>C1&amp;".E30.REM_HMB.NEW_CONST.END.TYPE"</f>
        <v>#N/A</v>
      </c>
      <c r="B90" s="125">
        <f>ROUND(PAGE3!$N$21,5)</f>
        <v>0</v>
      </c>
      <c r="C90" s="125">
        <f>ROUND(PAGE3!$P$21,5)</f>
        <v>0</v>
      </c>
    </row>
    <row r="91" spans="1:4">
      <c r="A91" s="130" t="s">
        <v>419</v>
      </c>
      <c r="B91" s="125" t="s">
        <v>415</v>
      </c>
      <c r="C91" s="125" t="s">
        <v>420</v>
      </c>
      <c r="D91" s="127" t="s">
        <v>421</v>
      </c>
    </row>
    <row r="92" spans="1:4" ht="25.5" customHeight="1">
      <c r="A92" s="131" t="e">
        <f>C1&amp;".E30.REM_HMB.EXIST_MTG.ARREARS.1TO3MTHS"</f>
        <v>#N/A</v>
      </c>
      <c r="B92" s="125">
        <f>ROUND(PAGE3!$B$32,5)</f>
        <v>0</v>
      </c>
      <c r="C92" s="125">
        <f>ROUND(PAGE3!$D$32,5)</f>
        <v>0</v>
      </c>
      <c r="D92" s="125">
        <f>ROUND(PAGE3!$F$32,5)</f>
        <v>0</v>
      </c>
    </row>
    <row r="93" spans="1:4" ht="25.5" customHeight="1">
      <c r="A93" s="131" t="e">
        <f>C1&amp;".E30.REM_HMB.EXIST_MTG.ARREARS.OVR4MTHS"</f>
        <v>#N/A</v>
      </c>
      <c r="B93" s="125">
        <f>ROUND(PAGE3!$J$32,5)</f>
        <v>0</v>
      </c>
      <c r="C93" s="125">
        <f>ROUND(PAGE3!$L$32,5)</f>
        <v>0</v>
      </c>
      <c r="D93" s="125">
        <f>ROUND(PAGE3!$N$32,5)</f>
        <v>0</v>
      </c>
    </row>
    <row r="94" spans="1:4" ht="25.5" customHeight="1">
      <c r="A94" s="131" t="e">
        <f>C1&amp;".E30.REM_HMB.NEW.ARREARS.1TO3MTHS"</f>
        <v>#N/A</v>
      </c>
      <c r="B94" s="125">
        <f>ROUND(PAGE3!$B$35,5)</f>
        <v>0</v>
      </c>
      <c r="C94" s="125">
        <f>ROUND(PAGE3!$D$35,5)</f>
        <v>0</v>
      </c>
      <c r="D94" s="125">
        <f>ROUND(PAGE3!$F$35,5)</f>
        <v>0</v>
      </c>
    </row>
    <row r="95" spans="1:4" ht="25.5" customHeight="1">
      <c r="A95" s="131" t="e">
        <f>C1&amp;".E30.REM_HMB.NEW.ARREARS.OVR4MTHS"</f>
        <v>#N/A</v>
      </c>
      <c r="B95" s="125">
        <f>ROUND(PAGE3!$J$35,5)</f>
        <v>0</v>
      </c>
      <c r="C95" s="125">
        <f>ROUND(PAGE3!$L$35,5)</f>
        <v>0</v>
      </c>
      <c r="D95" s="125">
        <f>ROUND(PAGE3!$N$35,5)</f>
        <v>0</v>
      </c>
    </row>
    <row r="96" spans="1:4">
      <c r="A96" s="130" t="s">
        <v>422</v>
      </c>
      <c r="B96" s="125" t="s">
        <v>415</v>
      </c>
      <c r="C96" s="125" t="s">
        <v>416</v>
      </c>
    </row>
    <row r="97" spans="1:3" ht="25.5" customHeight="1">
      <c r="A97" s="131" t="e">
        <f>C1&amp;".E30.REM_HMB.TTL_MRTG.ARREARS."</f>
        <v>#N/A</v>
      </c>
      <c r="B97" s="125">
        <f>ROUND(PAGE3!$H$45,5)</f>
        <v>0</v>
      </c>
      <c r="C97" s="125">
        <f>ROUND(PAGE3!$L$45,5)</f>
        <v>0</v>
      </c>
    </row>
    <row r="98" spans="1:3" ht="25.5" customHeight="1">
      <c r="A98" s="131" t="e">
        <f>C1&amp;".E30.REM_HMB.TTL_MRTG.ARREARS.EXIST_MRTG"</f>
        <v>#N/A</v>
      </c>
      <c r="B98" s="125">
        <f>ROUND(PAGE3!$H$47,5)</f>
        <v>0</v>
      </c>
      <c r="C98" s="125">
        <f>ROUND(PAGE3!$L$47,5)</f>
        <v>0</v>
      </c>
    </row>
    <row r="99" spans="1:3" ht="25.5" customHeight="1">
      <c r="A99" s="131" t="e">
        <f>C1&amp;".E30.REM_HMB.TTL_MRTG.ARREARS.NEW_CONSTR"</f>
        <v>#N/A</v>
      </c>
      <c r="B99" s="125">
        <f>ROUND(PAGE3!$H$50,5)</f>
        <v>0</v>
      </c>
      <c r="C99" s="125">
        <f>ROUND(PAGE3!$L$50,5)</f>
        <v>0</v>
      </c>
    </row>
    <row r="100" spans="1:3" ht="25.5" customHeight="1">
      <c r="A100" s="131" t="e">
        <f>C1&amp;".E30.REM_HMB.TTL_MRTG.ARREARS.BNK_TR_CO"</f>
        <v>#N/A</v>
      </c>
      <c r="B100" s="125">
        <f>ROUND(PAGE3!$H$53,5)</f>
        <v>0</v>
      </c>
      <c r="C100" s="125">
        <f>ROUND(PAGE3!$L$53,5)</f>
        <v>0</v>
      </c>
    </row>
    <row r="101" spans="1:3">
      <c r="A101" s="131" t="e">
        <f>C1&amp;".E30.REM_NIB.PBSEC.APPR.LT100"</f>
        <v>#N/A</v>
      </c>
      <c r="B101" s="125">
        <f>ROUND(PAGE4!$G$21,5)</f>
        <v>0</v>
      </c>
      <c r="C101" s="125">
        <f>ROUND(PAGE4!$I$21,5)</f>
        <v>0</v>
      </c>
    </row>
    <row r="102" spans="1:3">
      <c r="A102" s="131" t="e">
        <f>C1&amp;".E30.REM_NIB.PBSEC.DISB.LT100"</f>
        <v>#N/A</v>
      </c>
      <c r="B102" s="125">
        <f>ROUND(PAGE4!$K$21,5)</f>
        <v>0</v>
      </c>
      <c r="C102" s="125">
        <f>ROUND(PAGE4!$M$21,5)</f>
        <v>0</v>
      </c>
    </row>
    <row r="103" spans="1:3">
      <c r="A103" s="131" t="e">
        <f>C1&amp;".E30.REM_NIB.PBSEC.OS.LT100"</f>
        <v>#N/A</v>
      </c>
      <c r="B103" s="125">
        <f>ROUND(PAGE4!$O$21,5)</f>
        <v>0</v>
      </c>
      <c r="C103" s="125">
        <f>ROUND(PAGE4!$Q$21,5)</f>
        <v>0</v>
      </c>
    </row>
    <row r="104" spans="1:3">
      <c r="A104" s="131" t="e">
        <f>C1&amp;".E30.REM_NIB.PBSEC.APPR.100TO200"</f>
        <v>#N/A</v>
      </c>
      <c r="B104" s="125">
        <f>ROUND(PAGE4!$G$22,5)</f>
        <v>0</v>
      </c>
      <c r="C104" s="125">
        <f>ROUND(PAGE4!$I$22,5)</f>
        <v>0</v>
      </c>
    </row>
    <row r="105" spans="1:3">
      <c r="A105" s="131" t="e">
        <f>C1&amp;".E30.REM_NIB.PBSEC.DISB.100TO200"</f>
        <v>#N/A</v>
      </c>
      <c r="B105" s="125">
        <f>ROUND(PAGE4!$K$22,5)</f>
        <v>0</v>
      </c>
      <c r="C105" s="125">
        <f>ROUND(PAGE4!$M$22,5)</f>
        <v>0</v>
      </c>
    </row>
    <row r="106" spans="1:3">
      <c r="A106" s="131" t="e">
        <f>C1&amp;".E30.REM_NIB.PBSEC.OS.100TO200"</f>
        <v>#N/A</v>
      </c>
      <c r="B106" s="125">
        <f>ROUND(PAGE4!$O$22,5)</f>
        <v>0</v>
      </c>
      <c r="C106" s="125">
        <f>ROUND(PAGE4!$Q$22,5)</f>
        <v>0</v>
      </c>
    </row>
    <row r="107" spans="1:3">
      <c r="A107" s="131" t="e">
        <f>C1&amp;".E30.REM_NIB.PBSEC.APPR.200TO300"</f>
        <v>#N/A</v>
      </c>
      <c r="B107" s="125">
        <f>ROUND(PAGE4!$G$23,5)</f>
        <v>0</v>
      </c>
      <c r="C107" s="125">
        <f>ROUND(PAGE4!$I$23,5)</f>
        <v>0</v>
      </c>
    </row>
    <row r="108" spans="1:3">
      <c r="A108" s="131" t="e">
        <f>C1&amp;".E30.REM_NIB.PBSEC.DISB.200TO300"</f>
        <v>#N/A</v>
      </c>
      <c r="B108" s="125">
        <f>ROUND(PAGE4!$K$23,5)</f>
        <v>0</v>
      </c>
      <c r="C108" s="125">
        <f>ROUND(PAGE4!$M$23,5)</f>
        <v>0</v>
      </c>
    </row>
    <row r="109" spans="1:3">
      <c r="A109" s="131" t="e">
        <f>C1&amp;".E30.REM_NIB.PBSEC.OS.200TO300"</f>
        <v>#N/A</v>
      </c>
      <c r="B109" s="125">
        <f>ROUND(PAGE4!$O$23,5)</f>
        <v>0</v>
      </c>
      <c r="C109" s="125">
        <f>ROUND(PAGE4!$Q$23,5)</f>
        <v>0</v>
      </c>
    </row>
    <row r="110" spans="1:3">
      <c r="A110" s="131" t="e">
        <f>C1&amp;".E30.REM_NIB.PBSEC.APPR.OVR300"</f>
        <v>#N/A</v>
      </c>
      <c r="B110" s="125">
        <f>ROUND(PAGE4!$G$24,5)</f>
        <v>0</v>
      </c>
      <c r="C110" s="125">
        <f>ROUND(PAGE4!$I$24,5)</f>
        <v>0</v>
      </c>
    </row>
    <row r="111" spans="1:3">
      <c r="A111" s="131" t="e">
        <f>C1&amp;".E30.REM_NIB.PBSEC.DISB.OVR300"</f>
        <v>#N/A</v>
      </c>
      <c r="B111" s="125">
        <f>ROUND(PAGE4!$K$24,5)</f>
        <v>0</v>
      </c>
      <c r="C111" s="125">
        <f>ROUND(PAGE4!$M$24,5)</f>
        <v>0</v>
      </c>
    </row>
    <row r="112" spans="1:3">
      <c r="A112" s="131" t="e">
        <f>C1&amp;".E30.REM_NIB.PBSEC.OS.OVR300"</f>
        <v>#N/A</v>
      </c>
      <c r="B112" s="125">
        <f>ROUND(PAGE4!$O$24,5)</f>
        <v>0</v>
      </c>
      <c r="C112" s="125">
        <f>ROUND(PAGE4!$Q$24,5)</f>
        <v>0</v>
      </c>
    </row>
    <row r="113" spans="1:3">
      <c r="A113" s="132" t="e">
        <f>C1&amp;".E30.REM_NIB.PBSEC.APPR.TTL"</f>
        <v>#N/A</v>
      </c>
      <c r="B113" s="125">
        <f>ROUND(PAGE4!$G$20,5)</f>
        <v>0</v>
      </c>
      <c r="C113" s="125">
        <f>ROUND(PAGE4!$I$20,5)</f>
        <v>0</v>
      </c>
    </row>
    <row r="114" spans="1:3">
      <c r="A114" s="132" t="e">
        <f>C1&amp;".E30.REM_NIB.PBSEC.DISB.TTL"</f>
        <v>#N/A</v>
      </c>
      <c r="B114" s="125">
        <f>ROUND(PAGE4!$K$20,5)</f>
        <v>0</v>
      </c>
      <c r="C114" s="125">
        <f>ROUND(PAGE4!$M$20,5)</f>
        <v>0</v>
      </c>
    </row>
    <row r="115" spans="1:3">
      <c r="A115" s="132" t="e">
        <f>C1&amp;".E30.REM_NIB.PBSEC.OS.TTL"</f>
        <v>#N/A</v>
      </c>
      <c r="B115" s="125">
        <f>ROUND(PAGE4!$O$20,5)</f>
        <v>0</v>
      </c>
      <c r="C115" s="125">
        <f>ROUND(PAGE4!$Q$20,5)</f>
        <v>0</v>
      </c>
    </row>
    <row r="116" spans="1:3">
      <c r="A116" s="131" t="e">
        <f>C1&amp;".E30.REM_NIB.PVFIN.APPR.LT100"</f>
        <v>#N/A</v>
      </c>
      <c r="B116" s="125">
        <f>ROUND(PAGE4!$G$28,5)</f>
        <v>0</v>
      </c>
      <c r="C116" s="125">
        <f>ROUND(PAGE4!$I$28,5)</f>
        <v>0</v>
      </c>
    </row>
    <row r="117" spans="1:3">
      <c r="A117" s="131" t="e">
        <f>C1&amp;".E30.REM_NIB.PVFIN.DISB.LT100"</f>
        <v>#N/A</v>
      </c>
      <c r="B117" s="125">
        <f>ROUND(PAGE4!$K$28,5)</f>
        <v>0</v>
      </c>
      <c r="C117" s="125">
        <f>ROUND(PAGE4!$M$28,5)</f>
        <v>0</v>
      </c>
    </row>
    <row r="118" spans="1:3">
      <c r="A118" s="131" t="e">
        <f>C1&amp;".E30.REM_NIB.PVFIN.OS.LT100"</f>
        <v>#N/A</v>
      </c>
      <c r="B118" s="125">
        <f>ROUND(PAGE4!$O$28,5)</f>
        <v>0</v>
      </c>
      <c r="C118" s="125">
        <f>ROUND(PAGE4!$Q$28,5)</f>
        <v>0</v>
      </c>
    </row>
    <row r="119" spans="1:3">
      <c r="A119" s="131" t="e">
        <f>C1&amp;".E30.REM_NIB.PVFIN.APPR.100TO200"</f>
        <v>#N/A</v>
      </c>
      <c r="B119" s="125">
        <f>ROUND(PAGE4!$G$29,5)</f>
        <v>0</v>
      </c>
      <c r="C119" s="125">
        <f>ROUND(PAGE4!$I$29,5)</f>
        <v>0</v>
      </c>
    </row>
    <row r="120" spans="1:3">
      <c r="A120" s="131" t="e">
        <f>C1&amp;".E30.REM_NIB.PVFIN.DISB.100TO200"</f>
        <v>#N/A</v>
      </c>
      <c r="B120" s="125">
        <f>ROUND(PAGE4!$K$29,5)</f>
        <v>0</v>
      </c>
      <c r="C120" s="125">
        <f>ROUND(PAGE4!$M$29,5)</f>
        <v>0</v>
      </c>
    </row>
    <row r="121" spans="1:3">
      <c r="A121" s="131" t="e">
        <f>C1&amp;".E30.REM_NIB.PVFIN.OS.100TO200"</f>
        <v>#N/A</v>
      </c>
      <c r="B121" s="125">
        <f>ROUND(PAGE4!$O$29,5)</f>
        <v>0</v>
      </c>
      <c r="C121" s="125">
        <f>ROUND(PAGE4!$Q$29,5)</f>
        <v>0</v>
      </c>
    </row>
    <row r="122" spans="1:3">
      <c r="A122" s="131" t="e">
        <f>C1&amp;".E30.REM_NIB.PVFIN.APPR.200TO300"</f>
        <v>#N/A</v>
      </c>
      <c r="B122" s="125">
        <f>ROUND(PAGE4!$G$30,5)</f>
        <v>0</v>
      </c>
      <c r="C122" s="125">
        <f>ROUND(PAGE4!$I$30,5)</f>
        <v>0</v>
      </c>
    </row>
    <row r="123" spans="1:3">
      <c r="A123" s="131" t="e">
        <f>C1&amp;".E30.REM_NIB.PVFIN.DISB.200TO300"</f>
        <v>#N/A</v>
      </c>
      <c r="B123" s="125">
        <f>ROUND(PAGE4!$K$30,5)</f>
        <v>0</v>
      </c>
      <c r="C123" s="125">
        <f>ROUND(PAGE4!$M$30,5)</f>
        <v>0</v>
      </c>
    </row>
    <row r="124" spans="1:3">
      <c r="A124" s="131" t="e">
        <f>C1&amp;".E30.REM_NIB.PVFIN.OS.200TO300"</f>
        <v>#N/A</v>
      </c>
      <c r="B124" s="125">
        <f>ROUND(PAGE4!$O$30,5)</f>
        <v>0</v>
      </c>
      <c r="C124" s="125">
        <f>ROUND(PAGE4!$Q$30,5)</f>
        <v>0</v>
      </c>
    </row>
    <row r="125" spans="1:3">
      <c r="A125" s="131" t="e">
        <f>C1&amp;".E30.REM_NIB.PVFIN.APPR.OVR300"</f>
        <v>#N/A</v>
      </c>
      <c r="B125" s="125">
        <f>ROUND(PAGE4!$G$31,5)</f>
        <v>0</v>
      </c>
      <c r="C125" s="125">
        <f>ROUND(PAGE4!$I$31,5)</f>
        <v>0</v>
      </c>
    </row>
    <row r="126" spans="1:3">
      <c r="A126" s="131" t="e">
        <f>C1&amp;".E30.REM_NIB.PVFIN.DISB.OVR300"</f>
        <v>#N/A</v>
      </c>
      <c r="B126" s="125">
        <f>ROUND(PAGE4!$K$31,5)</f>
        <v>0</v>
      </c>
      <c r="C126" s="125">
        <f>ROUND(PAGE4!$M$31,5)</f>
        <v>0</v>
      </c>
    </row>
    <row r="127" spans="1:3">
      <c r="A127" s="131" t="e">
        <f>C1&amp;".E30.REM_NIB.PVFIN.OS.OVR300"</f>
        <v>#N/A</v>
      </c>
      <c r="B127" s="125">
        <f>ROUND(PAGE4!$O$31,5)</f>
        <v>0</v>
      </c>
      <c r="C127" s="125">
        <f>ROUND(PAGE4!$Q$31,5)</f>
        <v>0</v>
      </c>
    </row>
    <row r="128" spans="1:3">
      <c r="A128" s="132" t="e">
        <f>C1&amp;".E30.REM_NIB.PVFIN.APPR.TTL"</f>
        <v>#N/A</v>
      </c>
      <c r="B128" s="125">
        <f>ROUND(PAGE4!$G$27,5)</f>
        <v>0</v>
      </c>
      <c r="C128" s="125">
        <f>ROUND(PAGE4!$I$27,5)</f>
        <v>0</v>
      </c>
    </row>
    <row r="129" spans="1:3">
      <c r="A129" s="132" t="e">
        <f>C1&amp;".E30.REM_NIB.PVFIN.DISB.TTL"</f>
        <v>#N/A</v>
      </c>
      <c r="B129" s="125">
        <f>ROUND(PAGE4!$K$27,5)</f>
        <v>0</v>
      </c>
      <c r="C129" s="125">
        <f>ROUND(PAGE4!$M$27,5)</f>
        <v>0</v>
      </c>
    </row>
    <row r="130" spans="1:3">
      <c r="A130" s="132" t="e">
        <f>C1&amp;".E30.REM_NIB.PVFIN.OS.TTL"</f>
        <v>#N/A</v>
      </c>
      <c r="B130" s="125">
        <f>ROUND(PAGE4!$O$27,5)</f>
        <v>0</v>
      </c>
      <c r="C130" s="125">
        <f>ROUND(PAGE4!$Q$27,5)</f>
        <v>0</v>
      </c>
    </row>
    <row r="131" spans="1:3">
      <c r="A131" s="131" t="e">
        <f>C1&amp;".E30.REM_NIB.IBUS.APPR.LT100"</f>
        <v>#N/A</v>
      </c>
      <c r="B131" s="125">
        <f>ROUND(PAGE4!$G$35,5)</f>
        <v>0</v>
      </c>
      <c r="C131" s="125">
        <f>ROUND(PAGE4!$I$35,5)</f>
        <v>0</v>
      </c>
    </row>
    <row r="132" spans="1:3">
      <c r="A132" s="131" t="e">
        <f>C1&amp;".E30.REM_NIB.IBUS.DISB.LT100"</f>
        <v>#N/A</v>
      </c>
      <c r="B132" s="125">
        <f>ROUND(PAGE4!$K$35,5)</f>
        <v>0</v>
      </c>
      <c r="C132" s="125">
        <f>ROUND(PAGE4!$M$35,5)</f>
        <v>0</v>
      </c>
    </row>
    <row r="133" spans="1:3">
      <c r="A133" s="131" t="e">
        <f>C1&amp;".E30.REM_NIB.IBUS.OS.LT100"</f>
        <v>#N/A</v>
      </c>
      <c r="B133" s="125">
        <f>ROUND(PAGE4!$O$35,5)</f>
        <v>0</v>
      </c>
      <c r="C133" s="125">
        <f>ROUND(PAGE4!$Q$35,5)</f>
        <v>0</v>
      </c>
    </row>
    <row r="134" spans="1:3">
      <c r="A134" s="131" t="e">
        <f>C1&amp;".E30.REM_NIB.IBUS.APPR.100TO200"</f>
        <v>#N/A</v>
      </c>
      <c r="B134" s="125">
        <f>ROUND(PAGE4!$G$36,5)</f>
        <v>0</v>
      </c>
      <c r="C134" s="125">
        <f>ROUND(PAGE4!$I$36,5)</f>
        <v>0</v>
      </c>
    </row>
    <row r="135" spans="1:3">
      <c r="A135" s="131" t="e">
        <f>C1&amp;".E30.REM_NIB.IBUS.DISB.100TO200"</f>
        <v>#N/A</v>
      </c>
      <c r="B135" s="125">
        <f>ROUND(PAGE4!$K$36,5)</f>
        <v>0</v>
      </c>
      <c r="C135" s="125">
        <f>ROUND(PAGE4!$M$36,5)</f>
        <v>0</v>
      </c>
    </row>
    <row r="136" spans="1:3">
      <c r="A136" s="131" t="e">
        <f>C1&amp;".E30.REM_NIB.IBUS.OS.100TO200"</f>
        <v>#N/A</v>
      </c>
      <c r="B136" s="125">
        <f>ROUND(PAGE4!$O$36,5)</f>
        <v>0</v>
      </c>
      <c r="C136" s="125">
        <f>ROUND(PAGE4!$Q$36,5)</f>
        <v>0</v>
      </c>
    </row>
    <row r="137" spans="1:3">
      <c r="A137" s="131" t="e">
        <f>C1&amp;".E30.REM_NIB.IBUS.APPR.200TO300"</f>
        <v>#N/A</v>
      </c>
      <c r="B137" s="125">
        <f>ROUND(PAGE4!$G$37,5)</f>
        <v>0</v>
      </c>
      <c r="C137" s="125">
        <f>ROUND(PAGE4!$I$37,5)</f>
        <v>0</v>
      </c>
    </row>
    <row r="138" spans="1:3">
      <c r="A138" s="131" t="e">
        <f>C1&amp;".E30.REM_NIB.IBUS.DISB.200TO300"</f>
        <v>#N/A</v>
      </c>
      <c r="B138" s="125">
        <f>ROUND(PAGE4!$K$37,5)</f>
        <v>0</v>
      </c>
      <c r="C138" s="125">
        <f>ROUND(PAGE4!$M$37,5)</f>
        <v>0</v>
      </c>
    </row>
    <row r="139" spans="1:3">
      <c r="A139" s="131" t="e">
        <f>C1&amp;".E30.REM_NIB.IBUS.OS.200TO300"</f>
        <v>#N/A</v>
      </c>
      <c r="B139" s="125">
        <f>ROUND(PAGE4!$O$37,5)</f>
        <v>0</v>
      </c>
      <c r="C139" s="125">
        <f>ROUND(PAGE4!$Q$37,5)</f>
        <v>0</v>
      </c>
    </row>
    <row r="140" spans="1:3">
      <c r="A140" s="131" t="e">
        <f>C1&amp;".E30.REM_NIB.IBUS.APPR.OVR300"</f>
        <v>#N/A</v>
      </c>
      <c r="B140" s="125">
        <f>ROUND(PAGE4!$G$38,5)</f>
        <v>0</v>
      </c>
      <c r="C140" s="125">
        <f>ROUND(PAGE4!$I$38,5)</f>
        <v>0</v>
      </c>
    </row>
    <row r="141" spans="1:3">
      <c r="A141" s="131" t="e">
        <f>C1&amp;".E30.REM_NIB.IBUS.DISB.OVR300"</f>
        <v>#N/A</v>
      </c>
      <c r="B141" s="125">
        <f>ROUND(PAGE4!$K$38,5)</f>
        <v>0</v>
      </c>
      <c r="C141" s="125">
        <f>ROUND(PAGE4!$M$38,5)</f>
        <v>0</v>
      </c>
    </row>
    <row r="142" spans="1:3">
      <c r="A142" s="131" t="e">
        <f>C1&amp;".E30.REM_NIB.IBUS.OS.OVR300"</f>
        <v>#N/A</v>
      </c>
      <c r="B142" s="125">
        <f>ROUND(PAGE4!$O$38,5)</f>
        <v>0</v>
      </c>
      <c r="C142" s="125">
        <f>ROUND(PAGE4!$Q$38,5)</f>
        <v>0</v>
      </c>
    </row>
    <row r="143" spans="1:3">
      <c r="A143" s="132" t="e">
        <f>C1&amp;".E30.REM_NIB.IBUS.APPR.TTL"</f>
        <v>#N/A</v>
      </c>
      <c r="B143" s="125">
        <f>ROUND(PAGE4!$G$34,5)</f>
        <v>0</v>
      </c>
      <c r="C143" s="125">
        <f>ROUND(PAGE4!$I$34,5)</f>
        <v>0</v>
      </c>
    </row>
    <row r="144" spans="1:3">
      <c r="A144" s="132" t="e">
        <f>C1&amp;".E30.REM_NIB.IBUS.DISB.TTL"</f>
        <v>#N/A</v>
      </c>
      <c r="B144" s="125">
        <f>ROUND(PAGE4!$K$34,5)</f>
        <v>0</v>
      </c>
      <c r="C144" s="125">
        <f>ROUND(PAGE4!$M$34,5)</f>
        <v>0</v>
      </c>
    </row>
    <row r="145" spans="1:3">
      <c r="A145" s="132" t="e">
        <f>C1&amp;".E30.REM_NIB.IBUS.OS.TTL"</f>
        <v>#N/A</v>
      </c>
      <c r="B145" s="125">
        <f>ROUND(PAGE4!$O$34,5)</f>
        <v>0</v>
      </c>
      <c r="C145" s="125">
        <f>ROUND(PAGE4!$Q$34,5)</f>
        <v>0</v>
      </c>
    </row>
    <row r="146" spans="1:3">
      <c r="A146" s="131" t="e">
        <f>C1&amp;".E30.REM_NIB.UIBUS.APPR.LT100"</f>
        <v>#N/A</v>
      </c>
      <c r="B146" s="125">
        <f>ROUND(PAGE4!$G$42,5)</f>
        <v>0</v>
      </c>
      <c r="C146" s="125">
        <f>ROUND(PAGE4!$I$42,5)</f>
        <v>0</v>
      </c>
    </row>
    <row r="147" spans="1:3">
      <c r="A147" s="131" t="e">
        <f>C1&amp;".E30.REM_NIB.UIBUS.DISB.LT100"</f>
        <v>#N/A</v>
      </c>
      <c r="B147" s="125">
        <f>ROUND(PAGE4!$K$42,5)</f>
        <v>0</v>
      </c>
      <c r="C147" s="125">
        <f>ROUND(PAGE4!$M$42,5)</f>
        <v>0</v>
      </c>
    </row>
    <row r="148" spans="1:3">
      <c r="A148" s="131" t="e">
        <f>C1&amp;".E30.REM_NIB.UIBUS.OS.LT100"</f>
        <v>#N/A</v>
      </c>
      <c r="B148" s="125">
        <f>ROUND(PAGE4!$O$42,5)</f>
        <v>0</v>
      </c>
      <c r="C148" s="125">
        <f>ROUND(PAGE4!$Q$42,5)</f>
        <v>0</v>
      </c>
    </row>
    <row r="149" spans="1:3">
      <c r="A149" s="131" t="e">
        <f>C1&amp;".E30.REM_NIB.UIBUS.APPR.100TO200"</f>
        <v>#N/A</v>
      </c>
      <c r="B149" s="125">
        <f>ROUND(PAGE4!$G$43,5)</f>
        <v>0</v>
      </c>
      <c r="C149" s="125">
        <f>ROUND(PAGE4!$I$43,5)</f>
        <v>0</v>
      </c>
    </row>
    <row r="150" spans="1:3">
      <c r="A150" s="131" t="e">
        <f>C1&amp;".E30.REM_NIB.UIBUS.DISB.100TO200"</f>
        <v>#N/A</v>
      </c>
      <c r="B150" s="125">
        <f>ROUND(PAGE4!$K$43,5)</f>
        <v>0</v>
      </c>
      <c r="C150" s="125">
        <f>ROUND(PAGE4!$M$43,5)</f>
        <v>0</v>
      </c>
    </row>
    <row r="151" spans="1:3">
      <c r="A151" s="131" t="e">
        <f>C1&amp;".E30.REM_NIB.UIBUS.OS.100TO200"</f>
        <v>#N/A</v>
      </c>
      <c r="B151" s="125">
        <f>ROUND(PAGE4!$O$43,5)</f>
        <v>0</v>
      </c>
      <c r="C151" s="125">
        <f>ROUND(PAGE4!$Q$43,5)</f>
        <v>0</v>
      </c>
    </row>
    <row r="152" spans="1:3">
      <c r="A152" s="131" t="e">
        <f>C1&amp;".E30.REM_NIB.UIBUS.APPR.200TO300"</f>
        <v>#N/A</v>
      </c>
      <c r="B152" s="125">
        <f>ROUND(PAGE4!$G$44,5)</f>
        <v>0</v>
      </c>
      <c r="C152" s="125">
        <f>ROUND(PAGE4!$I$44,5)</f>
        <v>0</v>
      </c>
    </row>
    <row r="153" spans="1:3">
      <c r="A153" s="131" t="e">
        <f>C1&amp;".E30.REM_NIB.UIBUS.DISB.200TO300"</f>
        <v>#N/A</v>
      </c>
      <c r="B153" s="125">
        <f>ROUND(PAGE4!$K$44,5)</f>
        <v>0</v>
      </c>
      <c r="C153" s="125">
        <f>ROUND(PAGE4!$M$44,5)</f>
        <v>0</v>
      </c>
    </row>
    <row r="154" spans="1:3">
      <c r="A154" s="131" t="e">
        <f>C1&amp;".E30.REM_NIB.UIBUS.OS.200TO300"</f>
        <v>#N/A</v>
      </c>
      <c r="B154" s="125">
        <f>ROUND(PAGE4!$O$44,5)</f>
        <v>0</v>
      </c>
      <c r="C154" s="125">
        <f>ROUND(PAGE4!$Q$44,5)</f>
        <v>0</v>
      </c>
    </row>
    <row r="155" spans="1:3">
      <c r="A155" s="131" t="e">
        <f>C1&amp;".E30.REM_NIB.UIBUS.APPR.OVR300"</f>
        <v>#N/A</v>
      </c>
      <c r="B155" s="125">
        <f>ROUND(PAGE4!$G$45,5)</f>
        <v>0</v>
      </c>
      <c r="C155" s="125">
        <f>ROUND(PAGE4!$I$45,5)</f>
        <v>0</v>
      </c>
    </row>
    <row r="156" spans="1:3">
      <c r="A156" s="131" t="e">
        <f>C1&amp;".E30.REM_NIB.UIBUS.DISB.OVR300"</f>
        <v>#N/A</v>
      </c>
      <c r="B156" s="125">
        <f>ROUND(PAGE4!$K$45,5)</f>
        <v>0</v>
      </c>
      <c r="C156" s="125">
        <f>ROUND(PAGE4!$M$45,5)</f>
        <v>0</v>
      </c>
    </row>
    <row r="157" spans="1:3">
      <c r="A157" s="131" t="e">
        <f>C1&amp;".E30.REM_NIB.UIBUS.OS.OVR300"</f>
        <v>#N/A</v>
      </c>
      <c r="B157" s="125">
        <f>ROUND(PAGE4!$O$45,5)</f>
        <v>0</v>
      </c>
      <c r="C157" s="125">
        <f>ROUND(PAGE4!$Q$45,5)</f>
        <v>0</v>
      </c>
    </row>
    <row r="158" spans="1:3">
      <c r="A158" s="132" t="e">
        <f>C1&amp;".E30.REM_NIB.UIBUS.APPR.TTL"</f>
        <v>#N/A</v>
      </c>
      <c r="B158" s="125">
        <f>ROUND(PAGE4!$G$41,5)</f>
        <v>0</v>
      </c>
      <c r="C158" s="125">
        <f>ROUND(PAGE4!$I$41,5)</f>
        <v>0</v>
      </c>
    </row>
    <row r="159" spans="1:3">
      <c r="A159" s="132" t="e">
        <f>C1&amp;".E30.REM_NIB.UIBUS.DISB.TTL"</f>
        <v>#N/A</v>
      </c>
      <c r="B159" s="125">
        <f>ROUND(PAGE4!$K$41,5)</f>
        <v>0</v>
      </c>
      <c r="C159" s="125">
        <f>ROUND(PAGE4!$M$41,5)</f>
        <v>0</v>
      </c>
    </row>
    <row r="160" spans="1:3">
      <c r="A160" s="132" t="e">
        <f>C1&amp;".E30.REM_NIB.UIBUS.OS.TTL"</f>
        <v>#N/A</v>
      </c>
      <c r="B160" s="125">
        <f>ROUND(PAGE4!$O$41,5)</f>
        <v>0</v>
      </c>
      <c r="C160" s="125">
        <f>ROUND(PAGE4!$Q$41,5)</f>
        <v>0</v>
      </c>
    </row>
    <row r="161" spans="1:3">
      <c r="A161" s="131" t="e">
        <f>C1&amp;".E30.REM_NIB.CONSM.APPR.LT100"</f>
        <v>#N/A</v>
      </c>
      <c r="B161" s="125">
        <f>ROUND(PAGE4!$G$48,5)</f>
        <v>0</v>
      </c>
      <c r="C161" s="125">
        <f>ROUND(PAGE4!$I$48,5)</f>
        <v>0</v>
      </c>
    </row>
    <row r="162" spans="1:3">
      <c r="A162" s="131" t="e">
        <f>C1&amp;".E30.REM_NIB.CONSM.DISB.LT100"</f>
        <v>#N/A</v>
      </c>
      <c r="B162" s="125">
        <f>ROUND(PAGE4!$K$48,5)</f>
        <v>0</v>
      </c>
      <c r="C162" s="125">
        <f>ROUND(PAGE4!$M$48,5)</f>
        <v>0</v>
      </c>
    </row>
    <row r="163" spans="1:3">
      <c r="A163" s="131" t="e">
        <f>C1&amp;".E30.REM_NIB.CONSM.OS.LT100"</f>
        <v>#N/A</v>
      </c>
      <c r="B163" s="125">
        <f>ROUND(PAGE4!$O$48,5)</f>
        <v>0</v>
      </c>
      <c r="C163" s="125">
        <f>ROUND(PAGE4!$Q$48,5)</f>
        <v>0</v>
      </c>
    </row>
    <row r="164" spans="1:3">
      <c r="A164" s="131" t="e">
        <f>C1&amp;".E30.REM_NIB.CONSM.APPR.100TO200"</f>
        <v>#N/A</v>
      </c>
      <c r="B164" s="125">
        <f>ROUND(PAGE4!$G$49,5)</f>
        <v>0</v>
      </c>
      <c r="C164" s="125">
        <f>ROUND(PAGE4!$I$49,5)</f>
        <v>0</v>
      </c>
    </row>
    <row r="165" spans="1:3">
      <c r="A165" s="131" t="e">
        <f>C1&amp;".E30.REM_NIB.CONSM.DISB.100TO200"</f>
        <v>#N/A</v>
      </c>
      <c r="B165" s="125">
        <f>ROUND(PAGE4!$K$49,5)</f>
        <v>0</v>
      </c>
      <c r="C165" s="125">
        <f>ROUND(PAGE4!$M$49,5)</f>
        <v>0</v>
      </c>
    </row>
    <row r="166" spans="1:3">
      <c r="A166" s="131" t="e">
        <f>C1&amp;".E30.REM_NIB.CONSM.OS.100TO200"</f>
        <v>#N/A</v>
      </c>
      <c r="B166" s="125">
        <f>ROUND(PAGE4!$O$49,5)</f>
        <v>0</v>
      </c>
      <c r="C166" s="125">
        <f>ROUND(PAGE4!$Q$49,5)</f>
        <v>0</v>
      </c>
    </row>
    <row r="167" spans="1:3">
      <c r="A167" s="131" t="e">
        <f>C1&amp;".E30.REM_NIB.CONSM.APPR.200TO300"</f>
        <v>#N/A</v>
      </c>
      <c r="B167" s="125">
        <f>ROUND(PAGE4!$G$50,5)</f>
        <v>0</v>
      </c>
      <c r="C167" s="125">
        <f>ROUND(PAGE4!$I$50,5)</f>
        <v>0</v>
      </c>
    </row>
    <row r="168" spans="1:3">
      <c r="A168" s="131" t="e">
        <f>C1&amp;".E30.REM_NIB.CONSM.DISB.200TO300"</f>
        <v>#N/A</v>
      </c>
      <c r="B168" s="125">
        <f>ROUND(PAGE4!$K$50,5)</f>
        <v>0</v>
      </c>
      <c r="C168" s="125">
        <f>ROUND(PAGE4!$M$50,5)</f>
        <v>0</v>
      </c>
    </row>
    <row r="169" spans="1:3">
      <c r="A169" s="131" t="e">
        <f>C1&amp;".E30.REM_NIB.CONSM.OS.200TO300"</f>
        <v>#N/A</v>
      </c>
      <c r="B169" s="125">
        <f>ROUND(PAGE4!$O$50,5)</f>
        <v>0</v>
      </c>
      <c r="C169" s="125">
        <f>ROUND(PAGE4!$Q$50,5)</f>
        <v>0</v>
      </c>
    </row>
    <row r="170" spans="1:3">
      <c r="A170" s="131" t="e">
        <f>C1&amp;".E30.REM_NIB.CONSM.APPR.OVR300"</f>
        <v>#N/A</v>
      </c>
      <c r="B170" s="125">
        <f>ROUND(PAGE4!$G$51,5)</f>
        <v>0</v>
      </c>
      <c r="C170" s="125">
        <f>ROUND(PAGE4!$I$51,5)</f>
        <v>0</v>
      </c>
    </row>
    <row r="171" spans="1:3">
      <c r="A171" s="131" t="e">
        <f>C1&amp;".E30.REM_NIB.CONSM.DISB.OVR300"</f>
        <v>#N/A</v>
      </c>
      <c r="B171" s="125">
        <f>ROUND(PAGE4!$K$51,5)</f>
        <v>0</v>
      </c>
      <c r="C171" s="125">
        <f>ROUND(PAGE4!$M$51,5)</f>
        <v>0</v>
      </c>
    </row>
    <row r="172" spans="1:3">
      <c r="A172" s="131" t="e">
        <f>C1&amp;".E30.REM_NIB.CONSM.OS.OVR300"</f>
        <v>#N/A</v>
      </c>
      <c r="B172" s="125">
        <f>ROUND(PAGE4!$O$51,5)</f>
        <v>0</v>
      </c>
      <c r="C172" s="125">
        <f>ROUND(PAGE4!$Q$51,5)</f>
        <v>0</v>
      </c>
    </row>
    <row r="173" spans="1:3">
      <c r="A173" s="132" t="e">
        <f>C1&amp;".E30.REM_NIB.CONSM.APPR.TTL"</f>
        <v>#N/A</v>
      </c>
      <c r="B173" s="125">
        <f>ROUND(PAGE4!$G$47,5)</f>
        <v>0</v>
      </c>
      <c r="C173" s="125">
        <f>ROUND(PAGE4!$I$47,5)</f>
        <v>0</v>
      </c>
    </row>
    <row r="174" spans="1:3">
      <c r="A174" s="132" t="e">
        <f>C1&amp;".E30.REM_NIB.CONSM.DISB.TTL"</f>
        <v>#N/A</v>
      </c>
      <c r="B174" s="125">
        <f>ROUND(PAGE4!$K$47,5)</f>
        <v>0</v>
      </c>
      <c r="C174" s="125">
        <f>ROUND(PAGE4!$M$47,5)</f>
        <v>0</v>
      </c>
    </row>
    <row r="175" spans="1:3">
      <c r="A175" s="132" t="e">
        <f>C1&amp;".E30.REM_NIB.CONSM.OS.TTL"</f>
        <v>#N/A</v>
      </c>
      <c r="B175" s="125">
        <f>ROUND(PAGE4!$O$47,5)</f>
        <v>0</v>
      </c>
      <c r="C175" s="125">
        <f>ROUND(PAGE4!$Q$47,5)</f>
        <v>0</v>
      </c>
    </row>
    <row r="176" spans="1:3">
      <c r="A176" s="131" t="e">
        <f>C1&amp;".E30.REM_NIB.RENOV.APPR."</f>
        <v>#N/A</v>
      </c>
      <c r="B176" s="125">
        <f>ROUND(PAGE4!$G$59,5)</f>
        <v>0</v>
      </c>
      <c r="C176" s="125">
        <f>ROUND(PAGE4!$I$59,5)</f>
        <v>0</v>
      </c>
    </row>
    <row r="177" spans="1:3">
      <c r="A177" s="131" t="e">
        <f>C1&amp;".E30.REM_NIB.RENOV.DISB."</f>
        <v>#N/A</v>
      </c>
      <c r="B177" s="125">
        <f>ROUND(PAGE4!$K$59,5)</f>
        <v>0</v>
      </c>
      <c r="C177" s="125">
        <f>ROUND(PAGE4!$M$59,5)</f>
        <v>0</v>
      </c>
    </row>
    <row r="178" spans="1:3">
      <c r="A178" s="131" t="e">
        <f>C1&amp;".E30.REM_NIB.RENOV.OS."</f>
        <v>#N/A</v>
      </c>
      <c r="B178" s="125">
        <f>ROUND(PAGE4!$O$59,5)</f>
        <v>0</v>
      </c>
      <c r="C178" s="125">
        <f>ROUND(PAGE4!$Q$59,5)</f>
        <v>0</v>
      </c>
    </row>
    <row r="179" spans="1:3">
      <c r="A179" s="131" t="e">
        <f>C1&amp;".E30.REM_NIB.NEW_HOUSE.APPR."</f>
        <v>#N/A</v>
      </c>
      <c r="B179" s="125">
        <f>ROUND(PAGE4!$G$62,5)</f>
        <v>0</v>
      </c>
      <c r="C179" s="125">
        <f>ROUND(PAGE4!$I$62,5)</f>
        <v>0</v>
      </c>
    </row>
    <row r="180" spans="1:3">
      <c r="A180" s="131" t="e">
        <f>C1&amp;".E30.REM_NIB.NEW_HOUSE.DISB."</f>
        <v>#N/A</v>
      </c>
      <c r="B180" s="125">
        <f>ROUND(PAGE4!$K$62,5)</f>
        <v>0</v>
      </c>
      <c r="C180" s="125">
        <f>ROUND(PAGE4!$M$62,5)</f>
        <v>0</v>
      </c>
    </row>
    <row r="181" spans="1:3">
      <c r="A181" s="131" t="e">
        <f>C1&amp;".E30.REM_NIB.NEW_HOUSE.OS."</f>
        <v>#N/A</v>
      </c>
      <c r="B181" s="125">
        <f>ROUND(PAGE4!$O$62,5)</f>
        <v>0</v>
      </c>
      <c r="C181" s="125">
        <f>ROUND(PAGE4!$Q$62,5)</f>
        <v>0</v>
      </c>
    </row>
    <row r="182" spans="1:3">
      <c r="A182" s="131" t="e">
        <f>C1&amp;".E30.REM_NIB.EXIST_HOUSE.APPR."</f>
        <v>#N/A</v>
      </c>
      <c r="B182" s="125">
        <f>ROUND(PAGE4!$G$65,5)</f>
        <v>0</v>
      </c>
      <c r="C182" s="125">
        <f>ROUND(PAGE4!$I$65,5)</f>
        <v>0</v>
      </c>
    </row>
    <row r="183" spans="1:3">
      <c r="A183" s="131" t="e">
        <f>C1&amp;".E30.REM_NIB.EXIST_HOUSE.DISB."</f>
        <v>#N/A</v>
      </c>
      <c r="B183" s="125">
        <f>ROUND(PAGE4!$K$65,5)</f>
        <v>0</v>
      </c>
      <c r="C183" s="125">
        <f>ROUND(PAGE4!$M$65,5)</f>
        <v>0</v>
      </c>
    </row>
    <row r="184" spans="1:3">
      <c r="A184" s="131" t="e">
        <f>C1&amp;".E30.REM_NIB.EXIST_HOUSE.OS."</f>
        <v>#N/A</v>
      </c>
      <c r="B184" s="125">
        <f>ROUND(PAGE4!$O$65,5)</f>
        <v>0</v>
      </c>
      <c r="C184" s="125">
        <f>ROUND(PAGE4!$Q$65,5)</f>
        <v>0</v>
      </c>
    </row>
    <row r="185" spans="1:3">
      <c r="A185" s="131" t="e">
        <f>C1&amp;".E30.REM_NIB.LAND.APPR."</f>
        <v>#N/A</v>
      </c>
      <c r="B185" s="125">
        <f>ROUND(PAGE4!$G$67,5)</f>
        <v>0</v>
      </c>
      <c r="C185" s="125">
        <f>ROUND(PAGE4!$I$67,5)</f>
        <v>0</v>
      </c>
    </row>
    <row r="186" spans="1:3">
      <c r="A186" s="131" t="e">
        <f>C1&amp;".E30.REM_NIB.LAND.DISB."</f>
        <v>#N/A</v>
      </c>
      <c r="B186" s="125">
        <f>ROUND(PAGE4!$K$67,5)</f>
        <v>0</v>
      </c>
      <c r="C186" s="125">
        <f>ROUND(PAGE4!$M$67,5)</f>
        <v>0</v>
      </c>
    </row>
    <row r="187" spans="1:3">
      <c r="A187" s="131" t="e">
        <f>C1&amp;".E30.REM_NIB.LAND.OS."</f>
        <v>#N/A</v>
      </c>
      <c r="B187" s="125">
        <f>ROUND(PAGE4!$O$67,5)</f>
        <v>0</v>
      </c>
      <c r="C187" s="125">
        <f>ROUND(PAGE4!$Q$67,5)</f>
        <v>0</v>
      </c>
    </row>
    <row r="188" spans="1:3">
      <c r="A188" s="131" t="e">
        <f>C1&amp;".E30.REM_NIB.OTHER.APPR."</f>
        <v>#N/A</v>
      </c>
      <c r="B188" s="125">
        <f>ROUND(PAGE4!$G$69,5)</f>
        <v>0</v>
      </c>
      <c r="C188" s="125">
        <f>ROUND(PAGE4!$I$69,5)</f>
        <v>0</v>
      </c>
    </row>
    <row r="189" spans="1:3">
      <c r="A189" s="131" t="e">
        <f>C1&amp;".E30.REM_NIB.OTHER.DISB."</f>
        <v>#N/A</v>
      </c>
      <c r="B189" s="125">
        <f>ROUND(PAGE4!$K$69,5)</f>
        <v>0</v>
      </c>
      <c r="C189" s="125">
        <f>ROUND(PAGE4!$M$69,5)</f>
        <v>0</v>
      </c>
    </row>
    <row r="190" spans="1:3">
      <c r="A190" s="131" t="e">
        <f>C1&amp;".E30.REM_NIB.OTHER.OS."</f>
        <v>#N/A</v>
      </c>
      <c r="B190" s="125">
        <f>ROUND(PAGE4!$O$69,5)</f>
        <v>0</v>
      </c>
      <c r="C190" s="125">
        <f>ROUND(PAGE4!$Q$69,5)</f>
        <v>0</v>
      </c>
    </row>
    <row r="191" spans="1:3">
      <c r="A191" s="130" t="s">
        <v>423</v>
      </c>
      <c r="B191" s="125" t="s">
        <v>415</v>
      </c>
      <c r="C191" s="125"/>
    </row>
    <row r="192" spans="1:3">
      <c r="A192" s="131" t="e">
        <f>C1&amp;".E30.REM_NIB.LN_APP.REC.RES"</f>
        <v>#N/A</v>
      </c>
      <c r="B192" s="125">
        <f>ROUND(PAGE4!$C$75,5)</f>
        <v>0</v>
      </c>
      <c r="C192" s="125"/>
    </row>
    <row r="193" spans="1:3">
      <c r="A193" s="131" t="e">
        <f>C1&amp;".E30.REM_NIB.LN_APP.REC.NRES"</f>
        <v>#N/A</v>
      </c>
      <c r="B193" s="125">
        <f>ROUND(PAGE4!$C$77,5)</f>
        <v>0</v>
      </c>
      <c r="C193" s="125"/>
    </row>
    <row r="194" spans="1:3">
      <c r="A194" s="130" t="s">
        <v>424</v>
      </c>
      <c r="B194" s="125" t="s">
        <v>415</v>
      </c>
      <c r="C194" s="125" t="s">
        <v>416</v>
      </c>
    </row>
    <row r="195" spans="1:3">
      <c r="A195" s="131" t="e">
        <f>C1&amp;".E30.REM_NHA.PBSEC.APPR.LT50"</f>
        <v>#N/A</v>
      </c>
      <c r="B195" s="125">
        <f>ROUND(PAGE5!$G$22,5)</f>
        <v>0</v>
      </c>
      <c r="C195" s="125">
        <f>ROUND(PAGE5!$I$22,5)</f>
        <v>0</v>
      </c>
    </row>
    <row r="196" spans="1:3">
      <c r="A196" s="131" t="e">
        <f>C1&amp;".E30.REM_NHA.PBSEC.DISB.LT50"</f>
        <v>#N/A</v>
      </c>
      <c r="B196" s="125">
        <f>ROUND(PAGE5!$K$22,5)</f>
        <v>0</v>
      </c>
      <c r="C196" s="125">
        <f>ROUND(PAGE5!$M$22,5)</f>
        <v>0</v>
      </c>
    </row>
    <row r="197" spans="1:3">
      <c r="A197" s="131" t="e">
        <f>C1&amp;".E30.REM_NHA.PBSEC.OS.LT50"</f>
        <v>#N/A</v>
      </c>
      <c r="B197" s="125">
        <f>ROUND(PAGE5!$O$22,5)</f>
        <v>0</v>
      </c>
      <c r="C197" s="125">
        <f>ROUND(PAGE5!$Q$22,5)</f>
        <v>0</v>
      </c>
    </row>
    <row r="198" spans="1:3">
      <c r="A198" s="131" t="e">
        <f>C1&amp;".E30.REM_NHA.PBSEC.APPR.50TO100"</f>
        <v>#N/A</v>
      </c>
      <c r="B198" s="125">
        <f>ROUND(PAGE5!$G$23,5)</f>
        <v>0</v>
      </c>
      <c r="C198" s="125">
        <f>ROUND(PAGE5!$I$23,5)</f>
        <v>0</v>
      </c>
    </row>
    <row r="199" spans="1:3">
      <c r="A199" s="131" t="e">
        <f>C1&amp;".E30.REM_NHA.PBSEC.DISB.50TO100"</f>
        <v>#N/A</v>
      </c>
      <c r="B199" s="125">
        <f>ROUND(PAGE5!$K$23,5)</f>
        <v>0</v>
      </c>
      <c r="C199" s="125">
        <f>ROUND(PAGE5!$M$23,5)</f>
        <v>0</v>
      </c>
    </row>
    <row r="200" spans="1:3">
      <c r="A200" s="131" t="e">
        <f>C1&amp;".E30.REM_NHA.PBSEC.OS.50TO100"</f>
        <v>#N/A</v>
      </c>
      <c r="B200" s="125">
        <f>ROUND(PAGE5!$O$23,5)</f>
        <v>0</v>
      </c>
      <c r="C200" s="125">
        <f>ROUND(PAGE5!$Q$23,5)</f>
        <v>0</v>
      </c>
    </row>
    <row r="201" spans="1:3">
      <c r="A201" s="132" t="e">
        <f>C1&amp;".E30.REM_NHA.PBSEC.APPR.TTL"</f>
        <v>#N/A</v>
      </c>
      <c r="B201" s="125">
        <f>ROUND(PAGE5!$G$21,5)</f>
        <v>0</v>
      </c>
      <c r="C201" s="125">
        <f>ROUND(PAGE5!$I$21,5)</f>
        <v>0</v>
      </c>
    </row>
    <row r="202" spans="1:3">
      <c r="A202" s="132" t="e">
        <f>C1&amp;".E30.REM_NHA.PBSEC.DISB.TTL"</f>
        <v>#N/A</v>
      </c>
      <c r="B202" s="125">
        <f>ROUND(PAGE5!$K$21,5)</f>
        <v>0</v>
      </c>
      <c r="C202" s="125">
        <f>ROUND(PAGE5!$M$21,5)</f>
        <v>0</v>
      </c>
    </row>
    <row r="203" spans="1:3">
      <c r="A203" s="132" t="e">
        <f>C1&amp;".E30.REM_NHA.PBSEC.OS.TTL"</f>
        <v>#N/A</v>
      </c>
      <c r="B203" s="125">
        <f>ROUND(PAGE5!$O$21,5)</f>
        <v>0</v>
      </c>
      <c r="C203" s="125">
        <f>ROUND(PAGE5!$Q$21,5)</f>
        <v>0</v>
      </c>
    </row>
    <row r="204" spans="1:3">
      <c r="A204" s="131" t="e">
        <f>C1&amp;".E30.REM_NHA.PVFIN.APPR.LT50"</f>
        <v>#N/A</v>
      </c>
      <c r="B204" s="125">
        <f>ROUND(PAGE5!$G$27,5)</f>
        <v>0</v>
      </c>
      <c r="C204" s="125">
        <f>ROUND(PAGE5!$I$27,5)</f>
        <v>0</v>
      </c>
    </row>
    <row r="205" spans="1:3">
      <c r="A205" s="131" t="e">
        <f>C1&amp;".E30.REM_NHA.PVFIN.DISB.LT50"</f>
        <v>#N/A</v>
      </c>
      <c r="B205" s="125">
        <f>ROUND(PAGE5!$K$27,5)</f>
        <v>0</v>
      </c>
      <c r="C205" s="125">
        <f>ROUND(PAGE5!$M$27,5)</f>
        <v>0</v>
      </c>
    </row>
    <row r="206" spans="1:3">
      <c r="A206" s="131" t="e">
        <f>C1&amp;".E30.REM_NHA.PVFIN.OS.LT50"</f>
        <v>#N/A</v>
      </c>
      <c r="B206" s="125">
        <f>ROUND(PAGE5!$O$27,5)</f>
        <v>0</v>
      </c>
      <c r="C206" s="125">
        <f>ROUND(PAGE5!$Q$27,5)</f>
        <v>0</v>
      </c>
    </row>
    <row r="207" spans="1:3">
      <c r="A207" s="131" t="e">
        <f>C1&amp;".E30.REM_NHA.PVFIN.APPR.50TO100"</f>
        <v>#N/A</v>
      </c>
      <c r="B207" s="125">
        <f>ROUND(PAGE5!$G$28,5)</f>
        <v>0</v>
      </c>
      <c r="C207" s="125">
        <f>ROUND(PAGE5!$I$28,5)</f>
        <v>0</v>
      </c>
    </row>
    <row r="208" spans="1:3">
      <c r="A208" s="131" t="e">
        <f>C1&amp;".E30.REM_NHA.PVFIN.DISB.50TO100"</f>
        <v>#N/A</v>
      </c>
      <c r="B208" s="125">
        <f>ROUND(PAGE5!$K$28,5)</f>
        <v>0</v>
      </c>
      <c r="C208" s="125">
        <f>ROUND(PAGE5!$M$28,5)</f>
        <v>0</v>
      </c>
    </row>
    <row r="209" spans="1:3">
      <c r="A209" s="131" t="e">
        <f>C1&amp;".E30.REM_NHA.PVFIN.OS.50TO100"</f>
        <v>#N/A</v>
      </c>
      <c r="B209" s="125">
        <f>ROUND(PAGE5!$O$28,5)</f>
        <v>0</v>
      </c>
      <c r="C209" s="125">
        <f>ROUND(PAGE5!$Q$28,5)</f>
        <v>0</v>
      </c>
    </row>
    <row r="210" spans="1:3">
      <c r="A210" s="132" t="e">
        <f>C1&amp;".E30.REM_NHA.PVFIN.APPR.TTL"</f>
        <v>#N/A</v>
      </c>
      <c r="B210" s="125">
        <f>ROUND(PAGE5!$G$26,5)</f>
        <v>0</v>
      </c>
      <c r="C210" s="125">
        <f>ROUND(PAGE5!$I$26,5)</f>
        <v>0</v>
      </c>
    </row>
    <row r="211" spans="1:3">
      <c r="A211" s="132" t="e">
        <f>C1&amp;".E30.REM_NHA.PVFIN.DISB.TTL"</f>
        <v>#N/A</v>
      </c>
      <c r="B211" s="125">
        <f>ROUND(PAGE5!$K$26,5)</f>
        <v>0</v>
      </c>
      <c r="C211" s="125">
        <f>ROUND(PAGE5!$M$26,5)</f>
        <v>0</v>
      </c>
    </row>
    <row r="212" spans="1:3">
      <c r="A212" s="132" t="e">
        <f>C1&amp;".E30.REM_NHA.PVFIN.OS.TTL"</f>
        <v>#N/A</v>
      </c>
      <c r="B212" s="125">
        <f>ROUND(PAGE5!$O$26,5)</f>
        <v>0</v>
      </c>
      <c r="C212" s="125">
        <f>ROUND(PAGE5!$Q$26,5)</f>
        <v>0</v>
      </c>
    </row>
    <row r="213" spans="1:3">
      <c r="A213" s="131" t="e">
        <f>C1&amp;".E30.REM_NHA.IBUS.APPR.LT50"</f>
        <v>#N/A</v>
      </c>
      <c r="B213" s="125">
        <f>ROUND(PAGE5!$G$32,5)</f>
        <v>0</v>
      </c>
      <c r="C213" s="125">
        <f>ROUND(PAGE5!$I$32,5)</f>
        <v>0</v>
      </c>
    </row>
    <row r="214" spans="1:3">
      <c r="A214" s="131" t="e">
        <f>C1&amp;".E30.REM_NHA.IBUS.DISB.LT50"</f>
        <v>#N/A</v>
      </c>
      <c r="B214" s="125">
        <f>ROUND(PAGE5!$K$32,5)</f>
        <v>0</v>
      </c>
      <c r="C214" s="125">
        <f>ROUND(PAGE5!$M$32,5)</f>
        <v>0</v>
      </c>
    </row>
    <row r="215" spans="1:3">
      <c r="A215" s="131" t="e">
        <f>C1&amp;".E30.REM_NHA.IBUS.OS.LT50"</f>
        <v>#N/A</v>
      </c>
      <c r="B215" s="125">
        <f>ROUND(PAGE5!$O$32,5)</f>
        <v>0</v>
      </c>
      <c r="C215" s="125">
        <f>ROUND(PAGE5!$Q$32,5)</f>
        <v>0</v>
      </c>
    </row>
    <row r="216" spans="1:3">
      <c r="A216" s="131" t="e">
        <f>C1&amp;".E30.REM_NHA.IBUS.APPR.50TO100"</f>
        <v>#N/A</v>
      </c>
      <c r="B216" s="125">
        <f>ROUND(PAGE5!$G$33,5)</f>
        <v>0</v>
      </c>
      <c r="C216" s="125">
        <f>ROUND(PAGE5!$I$33,5)</f>
        <v>0</v>
      </c>
    </row>
    <row r="217" spans="1:3">
      <c r="A217" s="131" t="e">
        <f>C1&amp;".E30.REM_NHA.IBUS.DISB.50TO100"</f>
        <v>#N/A</v>
      </c>
      <c r="B217" s="125">
        <f>ROUND(PAGE5!$K$33,5)</f>
        <v>0</v>
      </c>
      <c r="C217" s="125">
        <f>ROUND(PAGE5!$M$33,5)</f>
        <v>0</v>
      </c>
    </row>
    <row r="218" spans="1:3">
      <c r="A218" s="131" t="e">
        <f>C1&amp;".E30.REM_NHA.IBUS.OS.50TO100"</f>
        <v>#N/A</v>
      </c>
      <c r="B218" s="125">
        <f>ROUND(PAGE5!$O$33,5)</f>
        <v>0</v>
      </c>
      <c r="C218" s="125">
        <f>ROUND(PAGE5!$Q$33,5)</f>
        <v>0</v>
      </c>
    </row>
    <row r="219" spans="1:3">
      <c r="A219" s="132" t="e">
        <f>C1&amp;".E30.REM_NHA.IBUS.APPR.TTL"</f>
        <v>#N/A</v>
      </c>
      <c r="B219" s="125">
        <f>ROUND(PAGE5!$G$31,5)</f>
        <v>0</v>
      </c>
      <c r="C219" s="125">
        <f>ROUND(PAGE5!$I$31,5)</f>
        <v>0</v>
      </c>
    </row>
    <row r="220" spans="1:3">
      <c r="A220" s="132" t="e">
        <f>C1&amp;".E30.REM_NHA.IBUS.DISB.TTL"</f>
        <v>#N/A</v>
      </c>
      <c r="B220" s="125">
        <f>ROUND(PAGE5!$K$31,5)</f>
        <v>0</v>
      </c>
      <c r="C220" s="125">
        <f>ROUND(PAGE5!$M$31,5)</f>
        <v>0</v>
      </c>
    </row>
    <row r="221" spans="1:3">
      <c r="A221" s="132" t="e">
        <f>C1&amp;".E30.REM_NHA.IBUS.OS.TTL"</f>
        <v>#N/A</v>
      </c>
      <c r="B221" s="125">
        <f>ROUND(PAGE5!$O$31,5)</f>
        <v>0</v>
      </c>
      <c r="C221" s="125">
        <f>ROUND(PAGE5!$Q$31,5)</f>
        <v>0</v>
      </c>
    </row>
    <row r="222" spans="1:3">
      <c r="A222" s="131" t="e">
        <f>C1&amp;".E30.REM_NHA.UIBUS.APPR.LT50"</f>
        <v>#N/A</v>
      </c>
      <c r="B222" s="125">
        <f>ROUND(PAGE5!$G$37,5)</f>
        <v>0</v>
      </c>
      <c r="C222" s="125">
        <f>ROUND(PAGE5!$I$37,5)</f>
        <v>0</v>
      </c>
    </row>
    <row r="223" spans="1:3">
      <c r="A223" s="131" t="e">
        <f>C1&amp;".E30.REM_NHA.UIBUS.DISB.LT50"</f>
        <v>#N/A</v>
      </c>
      <c r="B223" s="125">
        <f>ROUND(PAGE5!$K$37,5)</f>
        <v>0</v>
      </c>
      <c r="C223" s="125">
        <f>ROUND(PAGE5!$M$37,5)</f>
        <v>0</v>
      </c>
    </row>
    <row r="224" spans="1:3">
      <c r="A224" s="131" t="e">
        <f>C1&amp;".E30.REM_NHA.UIBUS.OS.LT50"</f>
        <v>#N/A</v>
      </c>
      <c r="B224" s="125">
        <f>ROUND(PAGE5!$O$37,5)</f>
        <v>0</v>
      </c>
      <c r="C224" s="125">
        <f>ROUND(PAGE5!$Q$37,5)</f>
        <v>0</v>
      </c>
    </row>
    <row r="225" spans="1:3">
      <c r="A225" s="131" t="e">
        <f>C1&amp;".E30.REM_NHA.UIBUS.APPR.50TO100"</f>
        <v>#N/A</v>
      </c>
      <c r="B225" s="125">
        <f>ROUND(PAGE5!$G$38,5)</f>
        <v>0</v>
      </c>
      <c r="C225" s="125">
        <f>ROUND(PAGE5!$I$38,5)</f>
        <v>0</v>
      </c>
    </row>
    <row r="226" spans="1:3">
      <c r="A226" s="131" t="e">
        <f>C1&amp;".E30.REM_NHA.UIBUS.DISB.50TO100"</f>
        <v>#N/A</v>
      </c>
      <c r="B226" s="125">
        <f>ROUND(PAGE5!$K$38,5)</f>
        <v>0</v>
      </c>
      <c r="C226" s="125">
        <f>ROUND(PAGE5!$M$38,5)</f>
        <v>0</v>
      </c>
    </row>
    <row r="227" spans="1:3">
      <c r="A227" s="131" t="e">
        <f>C1&amp;".E30.REM_NHA.UIBUS.OS.50TO100"</f>
        <v>#N/A</v>
      </c>
      <c r="B227" s="125">
        <f>ROUND(PAGE5!$O$38,5)</f>
        <v>0</v>
      </c>
      <c r="C227" s="125">
        <f>ROUND(PAGE5!$Q$38,5)</f>
        <v>0</v>
      </c>
    </row>
    <row r="228" spans="1:3">
      <c r="A228" s="132" t="e">
        <f>C1&amp;".E30.REM_NHA.UIBUS.APPR.TTL"</f>
        <v>#N/A</v>
      </c>
      <c r="B228" s="125">
        <f>ROUND(PAGE5!$G$36,5)</f>
        <v>0</v>
      </c>
      <c r="C228" s="125">
        <f>ROUND(PAGE5!$I$36,5)</f>
        <v>0</v>
      </c>
    </row>
    <row r="229" spans="1:3">
      <c r="A229" s="132" t="e">
        <f>C1&amp;".E30.REM_NHA.UIBUS.DISB.TTL"</f>
        <v>#N/A</v>
      </c>
      <c r="B229" s="125">
        <f>ROUND(PAGE5!$K$36,5)</f>
        <v>0</v>
      </c>
      <c r="C229" s="125">
        <f>ROUND(PAGE5!$M$36,5)</f>
        <v>0</v>
      </c>
    </row>
    <row r="230" spans="1:3">
      <c r="A230" s="132" t="e">
        <f>C1&amp;".E30.REM_NHA.UIBUS.OS.TTL"</f>
        <v>#N/A</v>
      </c>
      <c r="B230" s="125">
        <f>ROUND(PAGE5!$O$36,5)</f>
        <v>0</v>
      </c>
      <c r="C230" s="125">
        <f>ROUND(PAGE5!$Q$36,5)</f>
        <v>0</v>
      </c>
    </row>
    <row r="231" spans="1:3">
      <c r="A231" s="131" t="e">
        <f>C1&amp;".E30.REM_NHA.CONSM.APPR.LT50"</f>
        <v>#N/A</v>
      </c>
      <c r="B231" s="125">
        <f>ROUND(PAGE5!$G$41,5)</f>
        <v>0</v>
      </c>
      <c r="C231" s="125">
        <f>ROUND(PAGE5!$I$41,5)</f>
        <v>0</v>
      </c>
    </row>
    <row r="232" spans="1:3">
      <c r="A232" s="131" t="e">
        <f>C1&amp;".E30.REM_NHA.CONSM.DISB.LT50"</f>
        <v>#N/A</v>
      </c>
      <c r="B232" s="125">
        <f>ROUND(PAGE5!$K$41,5)</f>
        <v>0</v>
      </c>
      <c r="C232" s="125">
        <f>ROUND(PAGE5!$M$41,5)</f>
        <v>0</v>
      </c>
    </row>
    <row r="233" spans="1:3">
      <c r="A233" s="131" t="e">
        <f>C1&amp;".E30.REM_NHA.CONSM.OS.LT50"</f>
        <v>#N/A</v>
      </c>
      <c r="B233" s="125">
        <f>ROUND(PAGE5!$O$41,5)</f>
        <v>0</v>
      </c>
      <c r="C233" s="125">
        <f>ROUND(PAGE5!$Q$41,5)</f>
        <v>0</v>
      </c>
    </row>
    <row r="234" spans="1:3">
      <c r="A234" s="131" t="e">
        <f>C1&amp;".E30.REM_NHA.CONSM.APPR.50TO100"</f>
        <v>#N/A</v>
      </c>
      <c r="B234" s="125">
        <f>ROUND(PAGE5!$G$42,5)</f>
        <v>0</v>
      </c>
      <c r="C234" s="125">
        <f>ROUND(PAGE5!$I$42,5)</f>
        <v>0</v>
      </c>
    </row>
    <row r="235" spans="1:3">
      <c r="A235" s="131" t="e">
        <f>C1&amp;".E30.REM_NHA.CONSM.DISB.50TO100"</f>
        <v>#N/A</v>
      </c>
      <c r="B235" s="125">
        <f>ROUND(PAGE5!$K$42,5)</f>
        <v>0</v>
      </c>
      <c r="C235" s="125">
        <f>ROUND(PAGE5!$M$42,5)</f>
        <v>0</v>
      </c>
    </row>
    <row r="236" spans="1:3">
      <c r="A236" s="131" t="e">
        <f>C1&amp;".E30.REM_NHA.CONSM.OS.50TO100"</f>
        <v>#N/A</v>
      </c>
      <c r="B236" s="125">
        <f>ROUND(PAGE5!$O$42,5)</f>
        <v>0</v>
      </c>
      <c r="C236" s="125">
        <f>ROUND(PAGE5!$Q$42,5)</f>
        <v>0</v>
      </c>
    </row>
    <row r="237" spans="1:3">
      <c r="A237" s="132" t="e">
        <f>C1&amp;".E30.REM_NHA.CONSM.APPR.TTL"</f>
        <v>#N/A</v>
      </c>
      <c r="B237" s="125">
        <f>ROUND(PAGE5!$G$40,5)</f>
        <v>0</v>
      </c>
      <c r="C237" s="125">
        <f>ROUND(PAGE5!$I$40,5)</f>
        <v>0</v>
      </c>
    </row>
    <row r="238" spans="1:3">
      <c r="A238" s="132" t="e">
        <f>C1&amp;".E30.REM_NHA.CONSM.DISB.TTL"</f>
        <v>#N/A</v>
      </c>
      <c r="B238" s="125">
        <f>ROUND(PAGE5!$K$40,5)</f>
        <v>0</v>
      </c>
      <c r="C238" s="125">
        <f>ROUND(PAGE5!$M$40,5)</f>
        <v>0</v>
      </c>
    </row>
    <row r="239" spans="1:3">
      <c r="A239" s="132" t="e">
        <f>C1&amp;".E30.REM_NHA.CONSM.OS.TTL"</f>
        <v>#N/A</v>
      </c>
      <c r="B239" s="125">
        <f>ROUND(PAGE5!$O$40,5)</f>
        <v>0</v>
      </c>
      <c r="C239" s="125">
        <f>ROUND(PAGE5!$Q$40,5)</f>
        <v>0</v>
      </c>
    </row>
    <row r="240" spans="1:3">
      <c r="A240" s="131" t="e">
        <f>C1&amp;".E30.REM_NHA.RENOV.APPR."</f>
        <v>#N/A</v>
      </c>
      <c r="B240" s="125">
        <f>ROUND(PAGE5!$G$50,5)</f>
        <v>0</v>
      </c>
      <c r="C240" s="125">
        <f>ROUND(PAGE5!$I$50,5)</f>
        <v>0</v>
      </c>
    </row>
    <row r="241" spans="1:3">
      <c r="A241" s="131" t="e">
        <f>C1&amp;".E30.REM_NHA.RENOV.DISB."</f>
        <v>#N/A</v>
      </c>
      <c r="B241" s="125">
        <f>ROUND(PAGE5!$K$50,5)</f>
        <v>0</v>
      </c>
      <c r="C241" s="125">
        <f>ROUND(PAGE5!$M$50,5)</f>
        <v>0</v>
      </c>
    </row>
    <row r="242" spans="1:3">
      <c r="A242" s="131" t="e">
        <f>C1&amp;".E30.REM_NHA.RENOV.OS."</f>
        <v>#N/A</v>
      </c>
      <c r="B242" s="125">
        <f>ROUND(PAGE5!$O$50,5)</f>
        <v>0</v>
      </c>
      <c r="C242" s="125">
        <f>ROUND(PAGE5!$Q$50,5)</f>
        <v>0</v>
      </c>
    </row>
    <row r="243" spans="1:3">
      <c r="A243" s="131" t="e">
        <f>C1&amp;".E30.REM_NHA.NEW_HOUSE.APPR."</f>
        <v>#N/A</v>
      </c>
      <c r="B243" s="125">
        <f>ROUND(PAGE5!$G$53,5)</f>
        <v>0</v>
      </c>
      <c r="C243" s="125">
        <f>ROUND(PAGE5!$I$53,5)</f>
        <v>0</v>
      </c>
    </row>
    <row r="244" spans="1:3">
      <c r="A244" s="131" t="e">
        <f>C1&amp;".E30.REM_NHA.NEW_HOUSE.DISB."</f>
        <v>#N/A</v>
      </c>
      <c r="B244" s="125">
        <f>ROUND(PAGE5!$K$53,5)</f>
        <v>0</v>
      </c>
      <c r="C244" s="125">
        <f>ROUND(PAGE5!$M$53,5)</f>
        <v>0</v>
      </c>
    </row>
    <row r="245" spans="1:3">
      <c r="A245" s="131" t="e">
        <f>C1&amp;".E30.REM_NHA.NEW_HOUSE.OS."</f>
        <v>#N/A</v>
      </c>
      <c r="B245" s="125">
        <f>ROUND(PAGE5!$O$53,5)</f>
        <v>0</v>
      </c>
      <c r="C245" s="125">
        <f>ROUND(PAGE5!$Q$53,5)</f>
        <v>0</v>
      </c>
    </row>
    <row r="246" spans="1:3">
      <c r="A246" s="131" t="e">
        <f>C1&amp;".E30.REM_NHA.EXIST_HOUSE.APPR."</f>
        <v>#N/A</v>
      </c>
      <c r="B246" s="125">
        <f>ROUND(PAGE5!$G$56,5)</f>
        <v>0</v>
      </c>
      <c r="C246" s="125">
        <f>ROUND(PAGE5!$I$56,5)</f>
        <v>0</v>
      </c>
    </row>
    <row r="247" spans="1:3">
      <c r="A247" s="131" t="e">
        <f>C1&amp;".E30.REM_NHA.EXIST_HOUSE.DISB."</f>
        <v>#N/A</v>
      </c>
      <c r="B247" s="125">
        <f>ROUND(PAGE5!$K$56,5)</f>
        <v>0</v>
      </c>
      <c r="C247" s="125">
        <f>ROUND(PAGE5!$M$56,5)</f>
        <v>0</v>
      </c>
    </row>
    <row r="248" spans="1:3">
      <c r="A248" s="131" t="e">
        <f>C1&amp;".E30.REM_NHA.EXIST_HOUSE.OS."</f>
        <v>#N/A</v>
      </c>
      <c r="B248" s="125">
        <f>ROUND(PAGE5!$O$56,5)</f>
        <v>0</v>
      </c>
      <c r="C248" s="125">
        <f>ROUND(PAGE5!$Q$56,5)</f>
        <v>0</v>
      </c>
    </row>
    <row r="249" spans="1:3">
      <c r="A249" s="131" t="e">
        <f>C1&amp;".E30.REM_NHA.LAND.APPR."</f>
        <v>#N/A</v>
      </c>
      <c r="B249" s="125">
        <f>ROUND(PAGE5!$G$58,5)</f>
        <v>0</v>
      </c>
      <c r="C249" s="125">
        <f>ROUND(PAGE5!$I$58,5)</f>
        <v>0</v>
      </c>
    </row>
    <row r="250" spans="1:3">
      <c r="A250" s="131" t="e">
        <f>C1&amp;".E30.REM_NHA.LAND.DISB."</f>
        <v>#N/A</v>
      </c>
      <c r="B250" s="125">
        <f>ROUND(PAGE5!$K$58,5)</f>
        <v>0</v>
      </c>
      <c r="C250" s="125">
        <f>ROUND(PAGE5!$M$58,5)</f>
        <v>0</v>
      </c>
    </row>
    <row r="251" spans="1:3">
      <c r="A251" s="131" t="e">
        <f>C1&amp;".E30.REM_NHA.LAND.OS."</f>
        <v>#N/A</v>
      </c>
      <c r="B251" s="125">
        <f>ROUND(PAGE5!$O$58,5)</f>
        <v>0</v>
      </c>
      <c r="C251" s="125">
        <f>ROUND(PAGE5!$Q$58,5)</f>
        <v>0</v>
      </c>
    </row>
    <row r="252" spans="1:3">
      <c r="A252" s="130" t="s">
        <v>425</v>
      </c>
      <c r="B252" s="125" t="s">
        <v>415</v>
      </c>
      <c r="C252" s="125"/>
    </row>
    <row r="253" spans="1:3" ht="25.5" customHeight="1">
      <c r="A253" s="131" t="e">
        <f>C1&amp;".E30.REM_NHA.LN_APP.REC.RES"</f>
        <v>#N/A</v>
      </c>
      <c r="B253" s="125">
        <f>ROUND(PAGE5!$C$64,5)</f>
        <v>0</v>
      </c>
      <c r="C253" s="125"/>
    </row>
    <row r="254" spans="1:3">
      <c r="A254" s="131" t="e">
        <f>C1&amp;".E30.REM_NHA.LN_APP.REC.NRES"</f>
        <v>#N/A</v>
      </c>
      <c r="B254" s="125">
        <f>ROUND(PAGE5!$C$66,5)</f>
        <v>0</v>
      </c>
      <c r="C254" s="125"/>
    </row>
    <row r="255" spans="1:3">
      <c r="A255" s="130" t="s">
        <v>426</v>
      </c>
      <c r="B255" s="125" t="s">
        <v>415</v>
      </c>
      <c r="C255" s="125" t="s">
        <v>416</v>
      </c>
    </row>
    <row r="256" spans="1:3">
      <c r="A256" s="131" t="e">
        <f>C1&amp;".E30.LEASE_FIN.PVT_CARS.AGGR.NEW"</f>
        <v>#N/A</v>
      </c>
      <c r="B256" s="125">
        <f>ROUND(PAGE6!$H$23,5)</f>
        <v>0</v>
      </c>
      <c r="C256" s="125">
        <f>ROUND(PAGE6!$J$23,5)</f>
        <v>0</v>
      </c>
    </row>
    <row r="257" spans="1:3">
      <c r="A257" s="131" t="e">
        <f>C1&amp;".E30.LEASE_FIN.PVT_CARS.REPAY.NEW"</f>
        <v>#N/A</v>
      </c>
      <c r="B257" s="125">
        <f>ROUND(PAGE6!$L$23,5)</f>
        <v>0</v>
      </c>
      <c r="C257" s="125">
        <f>ROUND(PAGE6!$N$23,5)</f>
        <v>0</v>
      </c>
    </row>
    <row r="258" spans="1:3">
      <c r="A258" s="131" t="e">
        <f>C1&amp;".E30.LEASE_FIN.PVT_CARS.OS.NEW"</f>
        <v>#N/A</v>
      </c>
      <c r="B258" s="125">
        <f>ROUND(PAGE6!$P$23,5)</f>
        <v>0</v>
      </c>
      <c r="C258" s="125">
        <f>ROUND(PAGE6!$R$23,5)</f>
        <v>0</v>
      </c>
    </row>
    <row r="259" spans="1:3">
      <c r="A259" s="131" t="e">
        <f>C1&amp;".E30.LEASE_FIN.PVT_CARS.AGGR.USED"</f>
        <v>#N/A</v>
      </c>
      <c r="B259" s="125">
        <f>ROUND(PAGE6!$H$24,5)</f>
        <v>0</v>
      </c>
      <c r="C259" s="125">
        <f>ROUND(PAGE6!$J$24,5)</f>
        <v>0</v>
      </c>
    </row>
    <row r="260" spans="1:3" ht="25.5" customHeight="1">
      <c r="A260" s="131" t="e">
        <f>C1&amp;".E30.LEASE_FIN.PVT_CARS.REPAY.USED"</f>
        <v>#N/A</v>
      </c>
      <c r="B260" s="125">
        <f>ROUND(PAGE6!$L$24,5)</f>
        <v>0</v>
      </c>
      <c r="C260" s="125">
        <f>ROUND(PAGE6!$N$24,5)</f>
        <v>0</v>
      </c>
    </row>
    <row r="261" spans="1:3">
      <c r="A261" s="131" t="e">
        <f>C1&amp;".E30.LEASE_FIN.PVT_CARS.OS.USED"</f>
        <v>#N/A</v>
      </c>
      <c r="B261" s="125">
        <f>ROUND(PAGE6!$P$24,5)</f>
        <v>0</v>
      </c>
      <c r="C261" s="125">
        <f>ROUND(PAGE6!$R$24,5)</f>
        <v>0</v>
      </c>
    </row>
    <row r="262" spans="1:3">
      <c r="A262" s="131" t="e">
        <f>C1&amp;".E30.LEASE_FIN.OTH_VEH.AGGR.NEW"</f>
        <v>#N/A</v>
      </c>
      <c r="B262" s="125">
        <f>ROUND(PAGE6!$H$26,5)</f>
        <v>0</v>
      </c>
      <c r="C262" s="125">
        <f>ROUND(PAGE6!$J$26,5)</f>
        <v>0</v>
      </c>
    </row>
    <row r="263" spans="1:3">
      <c r="A263" s="131" t="e">
        <f>C1&amp;".E30.LEASE_FIN.OTH_VEH.REPAY.NEW"</f>
        <v>#N/A</v>
      </c>
      <c r="B263" s="125">
        <f>ROUND(PAGE6!$L$26,5)</f>
        <v>0</v>
      </c>
      <c r="C263" s="125">
        <f>ROUND(PAGE6!$N$26,5)</f>
        <v>0</v>
      </c>
    </row>
    <row r="264" spans="1:3">
      <c r="A264" s="131" t="e">
        <f>C1&amp;".E30.LEASE_FIN.OTH_VEH.OS.NEW"</f>
        <v>#N/A</v>
      </c>
      <c r="B264" s="125">
        <f>ROUND(PAGE6!$P$26,5)</f>
        <v>0</v>
      </c>
      <c r="C264" s="125">
        <f>ROUND(PAGE6!$R$26,5)</f>
        <v>0</v>
      </c>
    </row>
    <row r="265" spans="1:3">
      <c r="A265" s="131" t="e">
        <f>C1&amp;".E30.LEASE_FIN.OTH_VEH.AGGR.USED"</f>
        <v>#N/A</v>
      </c>
      <c r="B265" s="125">
        <f>ROUND(PAGE6!$H$27,5)</f>
        <v>0</v>
      </c>
      <c r="C265" s="125">
        <f>ROUND(PAGE6!$J$27,5)</f>
        <v>0</v>
      </c>
    </row>
    <row r="266" spans="1:3">
      <c r="A266" s="131" t="e">
        <f>C1&amp;".E30.LEASE_FIN.OTH_VEH.REPAY.USED"</f>
        <v>#N/A</v>
      </c>
      <c r="B266" s="125">
        <f>ROUND(PAGE6!$L$27,5)</f>
        <v>0</v>
      </c>
      <c r="C266" s="125">
        <f>ROUND(PAGE6!$N$27,5)</f>
        <v>0</v>
      </c>
    </row>
    <row r="267" spans="1:3">
      <c r="A267" s="131" t="e">
        <f>C1&amp;".E30.LEASE_FIN.OTH_VEH.OS.USED"</f>
        <v>#N/A</v>
      </c>
      <c r="B267" s="125">
        <f>ROUND(PAGE6!$P$27,5)</f>
        <v>0</v>
      </c>
      <c r="C267" s="125">
        <f>ROUND(PAGE6!$R$27,5)</f>
        <v>0</v>
      </c>
    </row>
    <row r="268" spans="1:3">
      <c r="A268" s="131" t="e">
        <f>C1&amp;".E30.LEASE_FIN.AGRIC_MACH.AGGR.NEW"</f>
        <v>#N/A</v>
      </c>
      <c r="B268" s="125">
        <f>ROUND(PAGE6!$H$30,5)</f>
        <v>0</v>
      </c>
      <c r="C268" s="125">
        <f>ROUND(PAGE6!$J$30,5)</f>
        <v>0</v>
      </c>
    </row>
    <row r="269" spans="1:3">
      <c r="A269" s="131" t="e">
        <f>C1&amp;".E30.LEASE_FIN.AGRIC_MACH.REPAY.NEW"</f>
        <v>#N/A</v>
      </c>
      <c r="B269" s="125">
        <f>ROUND(PAGE6!$L$30,5)</f>
        <v>0</v>
      </c>
      <c r="C269" s="125">
        <f>ROUND(PAGE6!$N$30,5)</f>
        <v>0</v>
      </c>
    </row>
    <row r="270" spans="1:3">
      <c r="A270" s="131" t="e">
        <f>C1&amp;".E30.LEASE_FIN.AGRIC_MACH.OS.NEW"</f>
        <v>#N/A</v>
      </c>
      <c r="B270" s="125">
        <f>ROUND(PAGE6!$P$30,5)</f>
        <v>0</v>
      </c>
      <c r="C270" s="125">
        <f>ROUND(PAGE6!$R$30,5)</f>
        <v>0</v>
      </c>
    </row>
    <row r="271" spans="1:3">
      <c r="A271" s="131" t="e">
        <f>C1&amp;".E30.LEASE_FIN.AGRIC_MACH.AGGR.USED"</f>
        <v>#N/A</v>
      </c>
      <c r="B271" s="125">
        <f>ROUND(PAGE6!$H$31,5)</f>
        <v>0</v>
      </c>
      <c r="C271" s="125">
        <f>ROUND(PAGE6!$J$31,5)</f>
        <v>0</v>
      </c>
    </row>
    <row r="272" spans="1:3">
      <c r="A272" s="131" t="e">
        <f>C1&amp;".E30.LEASE_FIN.AGRIC_MACH.REPAY.USED"</f>
        <v>#N/A</v>
      </c>
      <c r="B272" s="125">
        <f>ROUND(PAGE6!$L$31,5)</f>
        <v>0</v>
      </c>
      <c r="C272" s="125">
        <f>ROUND(PAGE6!$N$31,5)</f>
        <v>0</v>
      </c>
    </row>
    <row r="273" spans="1:3">
      <c r="A273" s="131" t="e">
        <f>C1&amp;".E30.LEASE_FIN.AGRIC_MACH.OS.USED"</f>
        <v>#N/A</v>
      </c>
      <c r="B273" s="125">
        <f>ROUND(PAGE6!$P$31,5)</f>
        <v>0</v>
      </c>
      <c r="C273" s="125">
        <f>ROUND(PAGE6!$R$31,5)</f>
        <v>0</v>
      </c>
    </row>
    <row r="274" spans="1:3">
      <c r="A274" s="131" t="e">
        <f>C1&amp;".E30.LEASE_FIN.IND_BLDG.AGGR.NEW"</f>
        <v>#N/A</v>
      </c>
      <c r="B274" s="125">
        <f>ROUND(PAGE6!$H$34,5)</f>
        <v>0</v>
      </c>
      <c r="C274" s="125">
        <f>ROUND(PAGE6!$J$34,5)</f>
        <v>0</v>
      </c>
    </row>
    <row r="275" spans="1:3">
      <c r="A275" s="131" t="e">
        <f>C1&amp;".E30.LEASE_FIN.IND_BLDG.REPAY.NEW"</f>
        <v>#N/A</v>
      </c>
      <c r="B275" s="125">
        <f>ROUND(PAGE6!$L$34,5)</f>
        <v>0</v>
      </c>
      <c r="C275" s="125">
        <f>ROUND(PAGE6!$N$34,5)</f>
        <v>0</v>
      </c>
    </row>
    <row r="276" spans="1:3">
      <c r="A276" s="131" t="e">
        <f>C1&amp;".E30.LEASE_FIN.IND_BLDG.OS.NEW"</f>
        <v>#N/A</v>
      </c>
      <c r="B276" s="125">
        <f>ROUND(PAGE6!$P$34,5)</f>
        <v>0</v>
      </c>
      <c r="C276" s="125">
        <f>ROUND(PAGE6!$R$34,5)</f>
        <v>0</v>
      </c>
    </row>
    <row r="277" spans="1:3">
      <c r="A277" s="131" t="e">
        <f>C1&amp;".E30.LEASE_FIN.IND_BLDG.AGGR.USED"</f>
        <v>#N/A</v>
      </c>
      <c r="B277" s="125">
        <f>ROUND(PAGE6!$H$35,5)</f>
        <v>0</v>
      </c>
      <c r="C277" s="125">
        <f>ROUND(PAGE6!$J$35,5)</f>
        <v>0</v>
      </c>
    </row>
    <row r="278" spans="1:3">
      <c r="A278" s="131" t="e">
        <f>C1&amp;".E30.LEASE_FIN.IND_BLDG.REPAY.USED"</f>
        <v>#N/A</v>
      </c>
      <c r="B278" s="125">
        <f>ROUND(PAGE6!$L$35,5)</f>
        <v>0</v>
      </c>
      <c r="C278" s="125">
        <f>ROUND(PAGE6!$N$35,5)</f>
        <v>0</v>
      </c>
    </row>
    <row r="279" spans="1:3">
      <c r="A279" s="131" t="e">
        <f>C1&amp;".E30.LEASE_FIN.IND_BLDG.OS.USED"</f>
        <v>#N/A</v>
      </c>
      <c r="B279" s="125">
        <f>ROUND(PAGE6!$P$35,5)</f>
        <v>0</v>
      </c>
      <c r="C279" s="125">
        <f>ROUND(PAGE6!$R$35,5)</f>
        <v>0</v>
      </c>
    </row>
    <row r="280" spans="1:3">
      <c r="A280" s="131" t="e">
        <f>C1&amp;".E30.LEASE_FIN.OFF_EQPT.AGGR.NEW"</f>
        <v>#N/A</v>
      </c>
      <c r="B280" s="125">
        <f>ROUND(PAGE6!$H$37,5)</f>
        <v>0</v>
      </c>
      <c r="C280" s="125">
        <f>ROUND(PAGE6!$J$37,5)</f>
        <v>0</v>
      </c>
    </row>
    <row r="281" spans="1:3">
      <c r="A281" s="131" t="e">
        <f>C1&amp;".E30.LEASE_FIN.OFF_EQPT.REPAY.NEW"</f>
        <v>#N/A</v>
      </c>
      <c r="B281" s="125">
        <f>ROUND(PAGE6!$L$37,5)</f>
        <v>0</v>
      </c>
      <c r="C281" s="125">
        <f>ROUND(PAGE6!$N$37,5)</f>
        <v>0</v>
      </c>
    </row>
    <row r="282" spans="1:3">
      <c r="A282" s="131" t="e">
        <f>C1&amp;".E30.LEASE_FIN.OFF_EQPT.OS.NEW"</f>
        <v>#N/A</v>
      </c>
      <c r="B282" s="125">
        <f>ROUND(PAGE6!$P$37,5)</f>
        <v>0</v>
      </c>
      <c r="C282" s="125">
        <f>ROUND(PAGE6!$R$37,5)</f>
        <v>0</v>
      </c>
    </row>
    <row r="283" spans="1:3">
      <c r="A283" s="131" t="e">
        <f>C1&amp;".E30.LEASE_FIN.OFF_EQPT.AGGR.USED"</f>
        <v>#N/A</v>
      </c>
      <c r="B283" s="125">
        <f>ROUND(PAGE6!$H$38,5)</f>
        <v>0</v>
      </c>
      <c r="C283" s="125">
        <f>ROUND(PAGE6!$J$38,5)</f>
        <v>0</v>
      </c>
    </row>
    <row r="284" spans="1:3" ht="12" customHeight="1">
      <c r="A284" s="131" t="e">
        <f>C1&amp;".E30.LEASE_FIN.OFF_EQPT.REPAY.USED"</f>
        <v>#N/A</v>
      </c>
      <c r="B284" s="125">
        <f>ROUND(PAGE6!$L$38,5)</f>
        <v>0</v>
      </c>
      <c r="C284" s="125">
        <f>ROUND(PAGE6!$N$38,5)</f>
        <v>0</v>
      </c>
    </row>
    <row r="285" spans="1:3">
      <c r="A285" s="131" t="e">
        <f>C1&amp;".E30.LEASE_FIN.OFF_EQPT.OS.USED"</f>
        <v>#N/A</v>
      </c>
      <c r="B285" s="125">
        <f>ROUND(PAGE6!$P$38,5)</f>
        <v>0</v>
      </c>
      <c r="C285" s="125">
        <f>ROUND(PAGE6!$R$38,5)</f>
        <v>0</v>
      </c>
    </row>
    <row r="286" spans="1:3">
      <c r="A286" s="131" t="e">
        <f>C1&amp;".E30.LEASE_FIN.OTH_EQP.AGGR."</f>
        <v>#N/A</v>
      </c>
      <c r="B286" s="125">
        <f>ROUND(PAGE6!$H$41,5)</f>
        <v>0</v>
      </c>
      <c r="C286" s="125">
        <f>ROUND(PAGE6!$J$41,5)</f>
        <v>0</v>
      </c>
    </row>
    <row r="287" spans="1:3">
      <c r="A287" s="131" t="e">
        <f>C1&amp;".E30.LEASE_FIN.OTH_EQP.REPAY."</f>
        <v>#N/A</v>
      </c>
      <c r="B287" s="125">
        <f>ROUND(PAGE6!$L$41,5)</f>
        <v>0</v>
      </c>
      <c r="C287" s="125">
        <f>ROUND(PAGE6!$N$41,5)</f>
        <v>0</v>
      </c>
    </row>
    <row r="288" spans="1:3">
      <c r="A288" s="131" t="e">
        <f>C1&amp;".E30.LEASE_FIN.OTH_EQP.OS."</f>
        <v>#N/A</v>
      </c>
      <c r="B288" s="125">
        <f>ROUND(PAGE6!$P$41,5)</f>
        <v>0</v>
      </c>
      <c r="C288" s="125">
        <f>ROUND(PAGE6!$R$41,5)</f>
        <v>0</v>
      </c>
    </row>
    <row r="289" spans="1:7">
      <c r="A289" s="133" t="s">
        <v>427</v>
      </c>
      <c r="B289" s="125" t="s">
        <v>667</v>
      </c>
      <c r="C289" s="125" t="s">
        <v>668</v>
      </c>
      <c r="D289" s="134" t="s">
        <v>428</v>
      </c>
      <c r="E289" s="134" t="s">
        <v>429</v>
      </c>
      <c r="F289" s="134" t="s">
        <v>430</v>
      </c>
      <c r="G289" s="134" t="s">
        <v>431</v>
      </c>
    </row>
    <row r="290" spans="1:7">
      <c r="A290" s="124" t="e">
        <f>C1&amp;".E30."&amp;T(PAGE6!$B$43)</f>
        <v>#N/A</v>
      </c>
      <c r="B290" s="125">
        <f>ROUND(PAGE6!$H$43,5)</f>
        <v>0</v>
      </c>
      <c r="C290" s="125">
        <f>ROUND(PAGE6!$J$43,5)</f>
        <v>0</v>
      </c>
      <c r="D290" s="127">
        <f>ROUND(PAGE6!$L$43,5)</f>
        <v>0</v>
      </c>
      <c r="E290" s="127">
        <f>ROUND(PAGE6!$N$43,5)</f>
        <v>0</v>
      </c>
      <c r="F290" s="127">
        <f>ROUND(PAGE6!$P$43,5)</f>
        <v>0</v>
      </c>
      <c r="G290" s="127">
        <f>ROUND(PAGE6!$R$43,5)</f>
        <v>0</v>
      </c>
    </row>
    <row r="291" spans="1:7">
      <c r="A291" s="133" t="e">
        <f>C1&amp;".E30."&amp;T(PAGE6!$B$45)</f>
        <v>#N/A</v>
      </c>
      <c r="B291" s="125">
        <f>ROUND(PAGE6!$H$45,5)</f>
        <v>0</v>
      </c>
      <c r="C291" s="125">
        <f>ROUND(PAGE6!$J$45,5)</f>
        <v>0</v>
      </c>
      <c r="D291" s="127">
        <f>ROUND(PAGE6!$L$45,5)</f>
        <v>0</v>
      </c>
      <c r="E291" s="127">
        <f>ROUND(PAGE6!$N$45,5)</f>
        <v>0</v>
      </c>
      <c r="F291" s="127">
        <f>ROUND(PAGE6!$P$45,5)</f>
        <v>0</v>
      </c>
      <c r="G291" s="127">
        <f>ROUND(PAGE6!$R$45,5)</f>
        <v>0</v>
      </c>
    </row>
    <row r="292" spans="1:7">
      <c r="A292" s="133" t="e">
        <f>C1&amp;".E30."&amp;T(PAGE6!$B$47)</f>
        <v>#N/A</v>
      </c>
      <c r="B292" s="125">
        <f>ROUND(PAGE6!$H$47,5)</f>
        <v>0</v>
      </c>
      <c r="C292" s="125">
        <f>ROUND(PAGE6!$J$47,5)</f>
        <v>0</v>
      </c>
      <c r="D292" s="127">
        <f>ROUND(PAGE6!$L$47,5)</f>
        <v>0</v>
      </c>
      <c r="E292" s="127">
        <f>ROUND(PAGE6!$N$47,5)</f>
        <v>0</v>
      </c>
      <c r="F292" s="127">
        <f>ROUND(PAGE6!$P$47,5)</f>
        <v>0</v>
      </c>
      <c r="G292" s="125">
        <f>ROUND(PAGE6!$R$47,5)</f>
        <v>0</v>
      </c>
    </row>
    <row r="293" spans="1:7">
      <c r="A293" s="124" t="s">
        <v>432</v>
      </c>
      <c r="B293" s="125" t="s">
        <v>415</v>
      </c>
      <c r="C293" s="125" t="s">
        <v>416</v>
      </c>
    </row>
    <row r="294" spans="1:7">
      <c r="A294" s="131" t="e">
        <f>C1&amp;".E30.LN_BUS.COC_COF_CIT_CULT.OS.PUB"</f>
        <v>#N/A</v>
      </c>
      <c r="B294" s="125">
        <f>ROUND(PAGE7!$F$20,5)</f>
        <v>0</v>
      </c>
      <c r="C294" s="125">
        <f>ROUND(PAGE7!$H$20,5)</f>
        <v>0</v>
      </c>
    </row>
    <row r="295" spans="1:7">
      <c r="A295" s="131" t="e">
        <f>C1&amp;".E30.LN_BUS.COC_COF_CIT_CULT.OS.PVT"</f>
        <v>#N/A</v>
      </c>
      <c r="B295" s="125">
        <f>ROUND(PAGE7!$J$20,5)</f>
        <v>0</v>
      </c>
      <c r="C295" s="125">
        <f>ROUND(PAGE7!$L$20,5)</f>
        <v>0</v>
      </c>
    </row>
    <row r="296" spans="1:7">
      <c r="A296" s="131" t="e">
        <f>C1&amp;".E30.LN_BUS.CCNUT_GROW.OS.PUB"</f>
        <v>#N/A</v>
      </c>
      <c r="B296" s="125">
        <f>ROUND(PAGE7!$F$22,5)</f>
        <v>0</v>
      </c>
      <c r="C296" s="125">
        <f>ROUND(PAGE7!$H$22,5)</f>
        <v>0</v>
      </c>
    </row>
    <row r="297" spans="1:7">
      <c r="A297" s="131" t="e">
        <f>C1&amp;".E30.LN_BUS.CCNUT_GROW.OS.PVT"</f>
        <v>#N/A</v>
      </c>
      <c r="B297" s="125">
        <f>ROUND(PAGE7!$J$22,5)</f>
        <v>0</v>
      </c>
      <c r="C297" s="125">
        <f>ROUND(PAGE7!$L$22,5)</f>
        <v>0</v>
      </c>
    </row>
    <row r="298" spans="1:7">
      <c r="A298" s="131" t="e">
        <f>C1&amp;".E30.LN_BUS.RCROP_PUL_VEG.OS.PUB"</f>
        <v>#N/A</v>
      </c>
      <c r="B298" s="125">
        <f>ROUND(PAGE7!$F$26,5)</f>
        <v>0</v>
      </c>
      <c r="C298" s="125">
        <f>ROUND(PAGE7!$H$26,5)</f>
        <v>0</v>
      </c>
    </row>
    <row r="299" spans="1:7">
      <c r="A299" s="131" t="e">
        <f>C1&amp;".E30.LN_BUS.RCROP_PUL_VEG.OS.PVT"</f>
        <v>#N/A</v>
      </c>
      <c r="B299" s="125">
        <f>ROUND(PAGE7!$J$26,5)</f>
        <v>0</v>
      </c>
      <c r="C299" s="125">
        <f>ROUND(PAGE7!$L$26,5)</f>
        <v>0</v>
      </c>
    </row>
    <row r="300" spans="1:7">
      <c r="A300" s="131" t="e">
        <f>C1&amp;".E30.LN_BUS.POL_EGGS.OS.PUB"</f>
        <v>#N/A</v>
      </c>
      <c r="B300" s="125">
        <f>ROUND(PAGE7!$F$28,5)</f>
        <v>0</v>
      </c>
      <c r="C300" s="125">
        <f>ROUND(PAGE7!$H$28,5)</f>
        <v>0</v>
      </c>
    </row>
    <row r="301" spans="1:7">
      <c r="A301" s="131" t="e">
        <f>C1&amp;".E30.LN_BUS.POL_EGGS.OS.PVT"</f>
        <v>#N/A</v>
      </c>
      <c r="B301" s="125">
        <f>ROUND(PAGE7!$J$28,5)</f>
        <v>0</v>
      </c>
      <c r="C301" s="125">
        <f>ROUND(PAGE7!$L$28,5)</f>
        <v>0</v>
      </c>
    </row>
    <row r="302" spans="1:7">
      <c r="A302" s="131" t="e">
        <f>C1&amp;".E30.LN_BUS.DAI_BEEF.OS.PUB"</f>
        <v>#N/A</v>
      </c>
      <c r="B302" s="125">
        <f>ROUND(PAGE7!$F$31,5)</f>
        <v>0</v>
      </c>
      <c r="C302" s="125">
        <f>ROUND(PAGE7!$H$31,5)</f>
        <v>0</v>
      </c>
    </row>
    <row r="303" spans="1:7">
      <c r="A303" s="131" t="e">
        <f>C1&amp;".E30.LN_BUS.DAI_BEEF.OS.PVT"</f>
        <v>#N/A</v>
      </c>
      <c r="B303" s="125">
        <f>ROUND(PAGE7!$J$31,5)</f>
        <v>0</v>
      </c>
      <c r="C303" s="125">
        <f>ROUND(PAGE7!$L$31,5)</f>
        <v>0</v>
      </c>
    </row>
    <row r="304" spans="1:7">
      <c r="A304" s="131" t="e">
        <f>C1&amp;".E30.LN_BUS.FORES_FISH.OS.PUB"</f>
        <v>#N/A</v>
      </c>
      <c r="B304" s="125">
        <f>ROUND(PAGE7!$F$33,5)</f>
        <v>0</v>
      </c>
      <c r="C304" s="125">
        <f>ROUND(PAGE7!$H$33,5)</f>
        <v>0</v>
      </c>
    </row>
    <row r="305" spans="1:3">
      <c r="A305" s="131" t="e">
        <f>C1&amp;".E30.LN_BUS.FORES_FISH.OS.PVT"</f>
        <v>#N/A</v>
      </c>
      <c r="B305" s="125">
        <f>ROUND(PAGE7!$J$33,5)</f>
        <v>0</v>
      </c>
      <c r="C305" s="125">
        <f>ROUND(PAGE7!$L$33,5)</f>
        <v>0</v>
      </c>
    </row>
    <row r="306" spans="1:3">
      <c r="A306" s="131" t="e">
        <f>C1&amp;".E30.LN_BUS.OTH_DOM.OS.PUB"</f>
        <v>#N/A</v>
      </c>
      <c r="B306" s="125">
        <f>ROUND(PAGE7!$F$36,5)</f>
        <v>0</v>
      </c>
      <c r="C306" s="125">
        <f>ROUND(PAGE7!$H$36,5)</f>
        <v>0</v>
      </c>
    </row>
    <row r="307" spans="1:3">
      <c r="A307" s="131" t="e">
        <f>C1&amp;".E30.LN_BUS.OTH_DOM.OS.PVT"</f>
        <v>#N/A</v>
      </c>
      <c r="B307" s="125">
        <f>ROUND(PAGE7!$J$36,5)</f>
        <v>0</v>
      </c>
      <c r="C307" s="125">
        <f>ROUND(PAGE7!$L$36,5)</f>
        <v>0</v>
      </c>
    </row>
    <row r="308" spans="1:3">
      <c r="A308" s="131" t="e">
        <f>C1&amp;".E30.LN_BUS.SUG_IND.OS.PUB"</f>
        <v>#N/A</v>
      </c>
      <c r="B308" s="125">
        <f>ROUND(PAGE7!$F$38,5)</f>
        <v>0</v>
      </c>
      <c r="C308" s="125">
        <f>ROUND(PAGE7!$H$38,5)</f>
        <v>0</v>
      </c>
    </row>
    <row r="309" spans="1:3">
      <c r="A309" s="131" t="e">
        <f>C1&amp;".E30.LN_BUS.SUG_IND.OS.PVT"</f>
        <v>#N/A</v>
      </c>
      <c r="B309" s="125">
        <f>ROUND(PAGE7!$J$38,5)</f>
        <v>0</v>
      </c>
      <c r="C309" s="125">
        <f>ROUND(PAGE7!$L$38,5)</f>
        <v>0</v>
      </c>
    </row>
    <row r="310" spans="1:3">
      <c r="A310" s="131" t="e">
        <f>C1&amp;".E30.LN_BUS.PETRO.OS.PUB"</f>
        <v>#N/A</v>
      </c>
      <c r="B310" s="125">
        <f>ROUND(PAGE7!$F$42,5)</f>
        <v>0</v>
      </c>
      <c r="C310" s="125">
        <f>ROUND(PAGE7!$H$42,5)</f>
        <v>0</v>
      </c>
    </row>
    <row r="311" spans="1:3">
      <c r="A311" s="131" t="e">
        <f>C1&amp;".E30.LN_BUS.PETRO.OS.PVT"</f>
        <v>#N/A</v>
      </c>
      <c r="B311" s="125">
        <f>ROUND(PAGE7!$J$42,5)</f>
        <v>0</v>
      </c>
      <c r="C311" s="125">
        <f>ROUND(PAGE7!$L$42,5)</f>
        <v>0</v>
      </c>
    </row>
    <row r="312" spans="1:3">
      <c r="A312" s="131" t="e">
        <f>C1&amp;".E30.LN_BUS.FOOD_PROCESS.OS.PUB"</f>
        <v>#N/A</v>
      </c>
      <c r="B312" s="125">
        <f>ROUND(PAGE7!$F$44,5)</f>
        <v>0</v>
      </c>
      <c r="C312" s="125">
        <f>ROUND(PAGE7!$H$44,5)</f>
        <v>0</v>
      </c>
    </row>
    <row r="313" spans="1:3">
      <c r="A313" s="131" t="e">
        <f>C1&amp;".E30.LN_BUS.FOOD_PROCESS.OS.PVT"</f>
        <v>#N/A</v>
      </c>
      <c r="B313" s="125">
        <f>ROUND(PAGE7!$J$44,5)</f>
        <v>0</v>
      </c>
      <c r="C313" s="125">
        <f>ROUND(PAGE7!$L$44,5)</f>
        <v>0</v>
      </c>
    </row>
    <row r="314" spans="1:3">
      <c r="A314" s="131" t="e">
        <f>C1&amp;".E30.LN_BUS.DRNK_TOBCCO.OS.PUB"</f>
        <v>#N/A</v>
      </c>
      <c r="B314" s="125">
        <f>ROUND(PAGE7!$F$47,5)</f>
        <v>0</v>
      </c>
      <c r="C314" s="125">
        <f>ROUND(PAGE7!$H$47,5)</f>
        <v>0</v>
      </c>
    </row>
    <row r="315" spans="1:3">
      <c r="A315" s="131" t="e">
        <f>C1&amp;".E30.LN_BUS.DRNK_TOBCCO.OS.PVT"</f>
        <v>#N/A</v>
      </c>
      <c r="B315" s="125">
        <f>ROUND(PAGE7!$J$47,5)</f>
        <v>0</v>
      </c>
      <c r="C315" s="125">
        <f>ROUND(PAGE7!$L$47,5)</f>
        <v>0</v>
      </c>
    </row>
    <row r="316" spans="1:3">
      <c r="A316" s="131" t="e">
        <f>C1&amp;".E30.LN_BUS.TEX_GARMNTS.OS.PUB"</f>
        <v>#N/A</v>
      </c>
      <c r="B316" s="125">
        <f>ROUND(PAGE7!$F$49,5)</f>
        <v>0</v>
      </c>
      <c r="C316" s="125">
        <f>ROUND(PAGE7!$H$49,5)</f>
        <v>0</v>
      </c>
    </row>
    <row r="317" spans="1:3">
      <c r="A317" s="131" t="e">
        <f>C1&amp;".E30.LN_BUS.TEX_GARMNTS.OS.PVT"</f>
        <v>#N/A</v>
      </c>
      <c r="B317" s="125">
        <f>ROUND(PAGE7!$J$49,5)</f>
        <v>0</v>
      </c>
      <c r="C317" s="125">
        <f>ROUND(PAGE7!$L$49,5)</f>
        <v>0</v>
      </c>
    </row>
    <row r="318" spans="1:3">
      <c r="A318" s="131" t="e">
        <f>C1&amp;".E30.LN_BUS.FOOT_HWEAR.OS.PUB"</f>
        <v>#N/A</v>
      </c>
      <c r="B318" s="125">
        <f>ROUND(PAGE7!$F$52,5)</f>
        <v>0</v>
      </c>
      <c r="C318" s="125">
        <f>ROUND(PAGE7!$H$52,5)</f>
        <v>0</v>
      </c>
    </row>
    <row r="319" spans="1:3">
      <c r="A319" s="131" t="e">
        <f>C1&amp;".E30.LN_BUS.FOOT_HWEAR.OS.PVT"</f>
        <v>#N/A</v>
      </c>
      <c r="B319" s="125">
        <f>ROUND(PAGE7!$J$52,5)</f>
        <v>0</v>
      </c>
      <c r="C319" s="125">
        <f>ROUND(PAGE7!$L$52,5)</f>
        <v>0</v>
      </c>
    </row>
    <row r="320" spans="1:3">
      <c r="A320" s="131" t="e">
        <f>C1&amp;".E30.LN_BUS.PRINT_PUBL.OS.PUB"</f>
        <v>#N/A</v>
      </c>
      <c r="B320" s="125">
        <f>ROUND(PAGE7!$F$55,5)</f>
        <v>0</v>
      </c>
      <c r="C320" s="125">
        <f>ROUND(PAGE7!$H$55,5)</f>
        <v>0</v>
      </c>
    </row>
    <row r="321" spans="1:3">
      <c r="A321" s="131" t="e">
        <f>C1&amp;".E30.LN_BUS.PRINT_PUBL.OS.PVT"</f>
        <v>#N/A</v>
      </c>
      <c r="B321" s="125">
        <f>ROUND(PAGE7!$J$55,5)</f>
        <v>0</v>
      </c>
      <c r="C321" s="125">
        <f>ROUND(PAGE7!$L$55,5)</f>
        <v>0</v>
      </c>
    </row>
    <row r="322" spans="1:3">
      <c r="A322" s="131" t="e">
        <f>C1&amp;".E30.LN_BUS.WOOD_OTH.OS.PUB"</f>
        <v>#N/A</v>
      </c>
      <c r="B322" s="125">
        <f>ROUND(PAGE7!$F$58,5)</f>
        <v>0</v>
      </c>
      <c r="C322" s="125">
        <f>ROUND(PAGE7!$H$58,5)</f>
        <v>0</v>
      </c>
    </row>
    <row r="323" spans="1:3">
      <c r="A323" s="131" t="e">
        <f>C1&amp;".E30.LN_BUS.WOOD_OTH.OS.PVT"</f>
        <v>#N/A</v>
      </c>
      <c r="B323" s="125">
        <f>ROUND(PAGE7!$J$58,5)</f>
        <v>0</v>
      </c>
      <c r="C323" s="125">
        <f>ROUND(PAGE7!$L$58,5)</f>
        <v>0</v>
      </c>
    </row>
    <row r="324" spans="1:3">
      <c r="A324" s="131" t="e">
        <f>C1&amp;".E30.LN_BUS.GAS_PAINT.OS.PUB"</f>
        <v>#N/A</v>
      </c>
      <c r="B324" s="125">
        <f>ROUND(PAGE8!$E$9,5)</f>
        <v>0</v>
      </c>
      <c r="C324" s="125">
        <f>ROUND(PAGE8!$G$9,5)</f>
        <v>0</v>
      </c>
    </row>
    <row r="325" spans="1:3">
      <c r="A325" s="131" t="e">
        <f>C1&amp;".E30.LN_BUS.GAS_PAINT.OS.PVT"</f>
        <v>#N/A</v>
      </c>
      <c r="B325" s="125">
        <f>ROUND(PAGE8!$I$9,5)</f>
        <v>0</v>
      </c>
      <c r="C325" s="125">
        <f>ROUND(PAGE8!$K$9,5)</f>
        <v>0</v>
      </c>
    </row>
    <row r="326" spans="1:3">
      <c r="A326" s="131" t="e">
        <f>C1&amp;".E30.LN_BUS.PHARM_CHEM.OS.PUB"</f>
        <v>#N/A</v>
      </c>
      <c r="B326" s="125">
        <f>ROUND(PAGE8!$E$11,5)</f>
        <v>0</v>
      </c>
      <c r="C326" s="125">
        <f>ROUND(PAGE8!$G$11,5)</f>
        <v>0</v>
      </c>
    </row>
    <row r="327" spans="1:3">
      <c r="A327" s="131" t="e">
        <f>C1&amp;".E30.LN_BUS.PHARM_CHEM.OS.PVT"</f>
        <v>#N/A</v>
      </c>
      <c r="B327" s="125">
        <f>ROUND(PAGE8!$I$11,5)</f>
        <v>0</v>
      </c>
      <c r="C327" s="125">
        <f>ROUND(PAGE8!$K$11,5)</f>
        <v>0</v>
      </c>
    </row>
    <row r="328" spans="1:3">
      <c r="A328" s="131" t="e">
        <f>C1&amp;".E30.LN_BUS.CLAY_BRIC.OS.PUB"</f>
        <v>#N/A</v>
      </c>
      <c r="B328" s="125">
        <f>ROUND(PAGE8!$E$15,5)</f>
        <v>0</v>
      </c>
      <c r="C328" s="125">
        <f>ROUND(PAGE8!$G$15,5)</f>
        <v>0</v>
      </c>
    </row>
    <row r="329" spans="1:3">
      <c r="A329" s="131" t="e">
        <f>C1&amp;".E30.LN_BUS.CLAY_BRIC.OS.PVT"</f>
        <v>#N/A</v>
      </c>
      <c r="B329" s="125">
        <f>ROUND(PAGE8!$I$15,5)</f>
        <v>0</v>
      </c>
      <c r="C329" s="125">
        <f>ROUND(PAGE8!$K$15,5)</f>
        <v>0</v>
      </c>
    </row>
    <row r="330" spans="1:3">
      <c r="A330" s="131" t="e">
        <f>C1&amp;".E30.LN_BUS.CEMNT_CONC.OS.PUB"</f>
        <v>#N/A</v>
      </c>
      <c r="B330" s="125">
        <f>ROUND(PAGE8!$E$17,5)</f>
        <v>0</v>
      </c>
      <c r="C330" s="125">
        <f>ROUND(PAGE8!$G$17,5)</f>
        <v>0</v>
      </c>
    </row>
    <row r="331" spans="1:3">
      <c r="A331" s="131" t="e">
        <f>C1&amp;".E30.LN_BUS.CEMNT_CONC.OS.PVT"</f>
        <v>#N/A</v>
      </c>
      <c r="B331" s="125">
        <f>ROUND(PAGE8!$I$17,5)</f>
        <v>0</v>
      </c>
      <c r="C331" s="125">
        <f>ROUND(PAGE8!$K$17,5)</f>
        <v>0</v>
      </c>
    </row>
    <row r="332" spans="1:3">
      <c r="A332" s="131" t="e">
        <f>C1&amp;".E30.LN_BUS.OTH_CHEM.OS.PUB"</f>
        <v>#N/A</v>
      </c>
      <c r="B332" s="125">
        <f>ROUND(PAGE8!$E$20,5)</f>
        <v>0</v>
      </c>
      <c r="C332" s="125">
        <f>ROUND(PAGE8!$G$20,5)</f>
        <v>0</v>
      </c>
    </row>
    <row r="333" spans="1:3">
      <c r="A333" s="131" t="e">
        <f>C1&amp;".E30.LN_BUS.OTH_CHEM.OS.PVT"</f>
        <v>#N/A</v>
      </c>
      <c r="B333" s="125">
        <f>ROUND(PAGE8!$I$20,5)</f>
        <v>0</v>
      </c>
      <c r="C333" s="125">
        <f>ROUND(PAGE8!$K$20,5)</f>
        <v>0</v>
      </c>
    </row>
    <row r="334" spans="1:3">
      <c r="A334" s="131" t="e">
        <f>C1&amp;".E30.LN_BUS.MOTOR_ASSBLY.OS.PUB"</f>
        <v>#N/A</v>
      </c>
      <c r="B334" s="125">
        <f>ROUND(PAGE8!$E$25,5)</f>
        <v>0</v>
      </c>
      <c r="C334" s="125">
        <f>ROUND(PAGE8!$G$25,5)</f>
        <v>0</v>
      </c>
    </row>
    <row r="335" spans="1:3">
      <c r="A335" s="131" t="e">
        <f>C1&amp;".E30.LN_BUS.MOTOR_ASSBLY.OS.PVT"</f>
        <v>#N/A</v>
      </c>
      <c r="B335" s="125">
        <f>ROUND(PAGE8!$I$25,5)</f>
        <v>0</v>
      </c>
      <c r="C335" s="125">
        <f>ROUND(PAGE8!$K$25,5)</f>
        <v>0</v>
      </c>
    </row>
    <row r="336" spans="1:3">
      <c r="A336" s="131" t="e">
        <f>C1&amp;".E30.LN_BUS.ASSBLY_APPL.OS.PUB"</f>
        <v>#N/A</v>
      </c>
      <c r="B336" s="125">
        <f>ROUND(PAGE8!$E$27,5)</f>
        <v>0</v>
      </c>
      <c r="C336" s="125">
        <f>ROUND(PAGE8!$G$27,5)</f>
        <v>0</v>
      </c>
    </row>
    <row r="337" spans="1:3">
      <c r="A337" s="131" t="e">
        <f>C1&amp;".E30.LN_BUS.ASSBLY_APPL.OS.PVT"</f>
        <v>#N/A</v>
      </c>
      <c r="B337" s="125">
        <f>ROUND(PAGE8!$I$27,5)</f>
        <v>0</v>
      </c>
      <c r="C337" s="125">
        <f>ROUND(PAGE8!$K$27,5)</f>
        <v>0</v>
      </c>
    </row>
    <row r="338" spans="1:3">
      <c r="A338" s="131" t="e">
        <f>C1&amp;".E30.LN_BUS.METAL_BUILD.OS.PUB"</f>
        <v>#N/A</v>
      </c>
      <c r="B338" s="125">
        <f>ROUND(PAGE8!$E$31,5)</f>
        <v>0</v>
      </c>
      <c r="C338" s="125">
        <f>ROUND(PAGE8!$G$31,5)</f>
        <v>0</v>
      </c>
    </row>
    <row r="339" spans="1:3">
      <c r="A339" s="131" t="e">
        <f>C1&amp;".E30.LN_BUS.METAL_BUILD.OS.PVT"</f>
        <v>#N/A</v>
      </c>
      <c r="B339" s="125">
        <f>ROUND(PAGE8!$I$31,5)</f>
        <v>0</v>
      </c>
      <c r="C339" s="125">
        <f>ROUND(PAGE8!$K$31,5)</f>
        <v>0</v>
      </c>
    </row>
    <row r="340" spans="1:3">
      <c r="A340" s="131" t="e">
        <f>C1&amp;".E30.LN_BUS.MANF_IRON_STL.OS.PUB"</f>
        <v>#N/A</v>
      </c>
      <c r="B340" s="125">
        <f>ROUND(PAGE8!$E$34,5)</f>
        <v>0</v>
      </c>
      <c r="C340" s="125">
        <f>ROUND(PAGE8!$G$34,5)</f>
        <v>0</v>
      </c>
    </row>
    <row r="341" spans="1:3">
      <c r="A341" s="131" t="e">
        <f>C1&amp;".E30.LN_BUS.MANF_IRON_STL.OS.PVT"</f>
        <v>#N/A</v>
      </c>
      <c r="B341" s="125">
        <f>ROUND(PAGE8!$I$34,5)</f>
        <v>0</v>
      </c>
      <c r="C341" s="125">
        <f>ROUND(PAGE8!$K$34,5)</f>
        <v>0</v>
      </c>
    </row>
    <row r="342" spans="1:3">
      <c r="A342" s="131" t="e">
        <f>C1&amp;".E30.LN_BUS.OTH_ASSMBL_TYP.OS.PUB"</f>
        <v>#N/A</v>
      </c>
      <c r="B342" s="125">
        <f>ROUND(PAGE8!$E$36,5)</f>
        <v>0</v>
      </c>
      <c r="C342" s="125">
        <f>ROUND(PAGE8!$G$36,5)</f>
        <v>0</v>
      </c>
    </row>
    <row r="343" spans="1:3">
      <c r="A343" s="131" t="e">
        <f>C1&amp;".E30.LN_BUS.OTH_ASSMBL_TYP.OS.PVT"</f>
        <v>#N/A</v>
      </c>
      <c r="B343" s="125">
        <f>ROUND(PAGE8!$I$36,5)</f>
        <v>0</v>
      </c>
      <c r="C343" s="125">
        <f>ROUND(PAGE8!$K$36,5)</f>
        <v>0</v>
      </c>
    </row>
    <row r="344" spans="1:3">
      <c r="A344" s="131" t="e">
        <f>C1&amp;".E30.LN_BUS.MISC_MANF.OS.PUB"</f>
        <v>#N/A</v>
      </c>
      <c r="B344" s="125">
        <f>ROUND(PAGE8!$E$39,5)</f>
        <v>0</v>
      </c>
      <c r="C344" s="125">
        <f>ROUND(PAGE8!$G$39,5)</f>
        <v>0</v>
      </c>
    </row>
    <row r="345" spans="1:3">
      <c r="A345" s="131" t="e">
        <f>C1&amp;".E30.LN_BUS.MISC_MANF.OS.PVT"</f>
        <v>#N/A</v>
      </c>
      <c r="B345" s="125">
        <f>ROUND(PAGE8!$I$39,5)</f>
        <v>0</v>
      </c>
      <c r="C345" s="125">
        <f>ROUND(PAGE8!$K$39,5)</f>
        <v>0</v>
      </c>
    </row>
    <row r="346" spans="1:3">
      <c r="A346" s="131" t="e">
        <f>C1&amp;".E30.LN_BUS.ELEC_WATER.OS.PUB"</f>
        <v>#N/A</v>
      </c>
      <c r="B346" s="125">
        <f>ROUND(PAGE8!$E$42,5)</f>
        <v>0</v>
      </c>
      <c r="C346" s="125">
        <f>ROUND(PAGE8!$G$42,5)</f>
        <v>0</v>
      </c>
    </row>
    <row r="347" spans="1:3">
      <c r="A347" s="131" t="e">
        <f>C1&amp;".E30.LN_BUS.ELEC_WATER.OS.PVT"</f>
        <v>#N/A</v>
      </c>
      <c r="B347" s="125">
        <f>ROUND(PAGE8!$I$42,5)</f>
        <v>0</v>
      </c>
      <c r="C347" s="125">
        <f>ROUND(PAGE8!$K$42,5)</f>
        <v>0</v>
      </c>
    </row>
    <row r="348" spans="1:3">
      <c r="A348" s="131" t="e">
        <f>C1&amp;".E30.LN_BUS.BLD_CONSTR.OS.PUB"</f>
        <v>#N/A</v>
      </c>
      <c r="B348" s="125">
        <f>ROUND(PAGE8!$E$45,5)</f>
        <v>0</v>
      </c>
      <c r="C348" s="125">
        <f>ROUND(PAGE8!$G$45,5)</f>
        <v>0</v>
      </c>
    </row>
    <row r="349" spans="1:3">
      <c r="A349" s="131" t="e">
        <f>C1&amp;".E30.LN_BUS.BLD_CONSTR.OS.PVT"</f>
        <v>#N/A</v>
      </c>
      <c r="B349" s="125">
        <f>ROUND(PAGE8!$I$45,5)</f>
        <v>0</v>
      </c>
      <c r="C349" s="125">
        <f>ROUND(PAGE8!$K$45,5)</f>
        <v>0</v>
      </c>
    </row>
    <row r="350" spans="1:3">
      <c r="A350" s="131" t="e">
        <f>C1&amp;".E30.LN_BUS.CIVIL_ENG.OS.PUB"</f>
        <v>#N/A</v>
      </c>
      <c r="B350" s="125">
        <f>ROUND(PAGE8!$E$47,5)</f>
        <v>0</v>
      </c>
      <c r="C350" s="125">
        <f>ROUND(PAGE8!$G$47,5)</f>
        <v>0</v>
      </c>
    </row>
    <row r="351" spans="1:3">
      <c r="A351" s="131" t="e">
        <f>C1&amp;".E30.LN_BUS.CIVIL_ENG.OS.PVT"</f>
        <v>#N/A</v>
      </c>
      <c r="B351" s="125">
        <f>ROUND(PAGE8!$I$47,5)</f>
        <v>0</v>
      </c>
      <c r="C351" s="125">
        <f>ROUND(PAGE8!$K$47,5)</f>
        <v>0</v>
      </c>
    </row>
    <row r="352" spans="1:3">
      <c r="A352" s="131" t="e">
        <f>C1&amp;".E30.LN_BUS.ELEC_INST.OS.PUB"</f>
        <v>#N/A</v>
      </c>
      <c r="B352" s="125">
        <f>ROUND(PAGE8!$E$50,5)</f>
        <v>0</v>
      </c>
      <c r="C352" s="125">
        <f>ROUND(PAGE8!$G$50,5)</f>
        <v>0</v>
      </c>
    </row>
    <row r="353" spans="1:3">
      <c r="A353" s="131" t="e">
        <f>C1&amp;".E30.LN_BUS.ELEC_INST.OS.PVT"</f>
        <v>#N/A</v>
      </c>
      <c r="B353" s="125">
        <f>ROUND(PAGE8!$I$50,5)</f>
        <v>0</v>
      </c>
      <c r="C353" s="125">
        <f>ROUND(PAGE8!$K$50,5)</f>
        <v>0</v>
      </c>
    </row>
    <row r="354" spans="1:3">
      <c r="A354" s="131" t="e">
        <f>C1&amp;".E30.LN_BUS.OTH_CONSTR.OS.PUB"</f>
        <v>#N/A</v>
      </c>
      <c r="B354" s="125">
        <f>ROUND(PAGE8!$E$53,5)</f>
        <v>0</v>
      </c>
      <c r="C354" s="125">
        <f>ROUND(PAGE8!$G$53,5)</f>
        <v>0</v>
      </c>
    </row>
    <row r="355" spans="1:3">
      <c r="A355" s="131" t="e">
        <f>C1&amp;".E30.LN_BUS.OTH_CONSTR.OS.PVT"</f>
        <v>#N/A</v>
      </c>
      <c r="B355" s="125">
        <f>ROUND(PAGE8!$I$53,5)</f>
        <v>0</v>
      </c>
      <c r="C355" s="125">
        <f>ROUND(PAGE8!$K$53,5)</f>
        <v>0</v>
      </c>
    </row>
    <row r="356" spans="1:3">
      <c r="A356" s="131" t="e">
        <f>C1&amp;".E30.LN_BUS.WSALE_TRDE.OS.PUB"</f>
        <v>#N/A</v>
      </c>
      <c r="B356" s="125">
        <f>ROUND(PAGE8!$E$55,5)</f>
        <v>0</v>
      </c>
      <c r="C356" s="125">
        <f>ROUND(PAGE8!$G$55,5)</f>
        <v>0</v>
      </c>
    </row>
    <row r="357" spans="1:3">
      <c r="A357" s="131" t="e">
        <f>C1&amp;".E30.LN_BUS.WSALE_TRDE.OS.PVT"</f>
        <v>#N/A</v>
      </c>
      <c r="B357" s="125">
        <f>ROUND(PAGE8!$I$55,5)</f>
        <v>0</v>
      </c>
      <c r="C357" s="125">
        <f>ROUND(PAGE8!$K$55,5)</f>
        <v>0</v>
      </c>
    </row>
    <row r="358" spans="1:3">
      <c r="A358" s="131" t="e">
        <f>C1&amp;".E30.LN_BUS.RET_TRDE.OS.PUB"</f>
        <v>#N/A</v>
      </c>
      <c r="B358" s="125">
        <f>ROUND(PAGE8!$E$57,5)</f>
        <v>0</v>
      </c>
      <c r="C358" s="125">
        <f>ROUND(PAGE8!$G$57,5)</f>
        <v>0</v>
      </c>
    </row>
    <row r="359" spans="1:3">
      <c r="A359" s="131" t="e">
        <f>C1&amp;".E30.LN_BUS.RET_TRDE.OS.PVT"</f>
        <v>#N/A</v>
      </c>
      <c r="B359" s="125">
        <f>ROUND(PAGE8!$I$57,5)</f>
        <v>0</v>
      </c>
      <c r="C359" s="125">
        <f>ROUND(PAGE8!$K$57,5)</f>
        <v>0</v>
      </c>
    </row>
    <row r="360" spans="1:3">
      <c r="A360" s="131" t="e">
        <f>C1&amp;".E30.LN_BUS.REST_BAR.OS.PUB"</f>
        <v>#N/A</v>
      </c>
      <c r="B360" s="125">
        <f>ROUND(PAGE9!$E$9,5)</f>
        <v>0</v>
      </c>
      <c r="C360" s="125">
        <f>ROUND(PAGE9!$G$9,5)</f>
        <v>0</v>
      </c>
    </row>
    <row r="361" spans="1:3">
      <c r="A361" s="131" t="e">
        <f>C1&amp;".E30.LN_BUS.REST_BAR.OS.PVT"</f>
        <v>#N/A</v>
      </c>
      <c r="B361" s="125">
        <f>ROUND(PAGE9!$I$9,5)</f>
        <v>0</v>
      </c>
      <c r="C361" s="125">
        <f>ROUND(PAGE9!$K$9,5)</f>
        <v>0</v>
      </c>
    </row>
    <row r="362" spans="1:3">
      <c r="A362" s="131" t="e">
        <f>C1&amp;".E30.LN_BUS.HOTL_GUEST_HSE.OS.PUB"</f>
        <v>#N/A</v>
      </c>
      <c r="B362" s="125">
        <f>ROUND(PAGE9!$E$12,5)</f>
        <v>0</v>
      </c>
      <c r="C362" s="125">
        <f>ROUND(PAGE9!$G$12,5)</f>
        <v>0</v>
      </c>
    </row>
    <row r="363" spans="1:3">
      <c r="A363" s="131" t="e">
        <f>C1&amp;".E30.LN_BUS.HOTL_GUEST_HSE.OS.PVT"</f>
        <v>#N/A</v>
      </c>
      <c r="B363" s="125">
        <f>ROUND(PAGE9!$I$12,5)</f>
        <v>0</v>
      </c>
      <c r="C363" s="125">
        <f>ROUND(PAGE9!$K$12,5)</f>
        <v>0</v>
      </c>
    </row>
    <row r="364" spans="1:3">
      <c r="A364" s="131" t="e">
        <f>C1&amp;".E30.LN_BUS.TAXI_SERV.OS.PUB"</f>
        <v>#N/A</v>
      </c>
      <c r="B364" s="125">
        <f>ROUND(PAGE9!$E$15,5)</f>
        <v>0</v>
      </c>
      <c r="C364" s="125">
        <f>ROUND(PAGE9!$G$15,5)</f>
        <v>0</v>
      </c>
    </row>
    <row r="365" spans="1:3">
      <c r="A365" s="131" t="e">
        <f>C1&amp;".E30.LN_BUS.TAXI_SERV.OS.PVT"</f>
        <v>#N/A</v>
      </c>
      <c r="B365" s="125">
        <f>ROUND(PAGE9!$I$15,5)</f>
        <v>0</v>
      </c>
      <c r="C365" s="125">
        <f>ROUND(PAGE9!$K$15,5)</f>
        <v>0</v>
      </c>
    </row>
    <row r="366" spans="1:3">
      <c r="A366" s="131" t="e">
        <f>C1&amp;".E30.LN_BUS.TRUCKING.OS.PUB"</f>
        <v>#N/A</v>
      </c>
      <c r="B366" s="125">
        <f>ROUND(PAGE9!$E$17,5)</f>
        <v>0</v>
      </c>
      <c r="C366" s="125">
        <f>ROUND(PAGE9!$G$17,5)</f>
        <v>0</v>
      </c>
    </row>
    <row r="367" spans="1:3">
      <c r="A367" s="131" t="e">
        <f>C1&amp;".E30.LN_BUS.TRUCKING.OS.PVT"</f>
        <v>#N/A</v>
      </c>
      <c r="B367" s="125">
        <f>ROUND(PAGE9!$I$17,5)</f>
        <v>0</v>
      </c>
      <c r="C367" s="125">
        <f>ROUND(PAGE9!$K$17,5)</f>
        <v>0</v>
      </c>
    </row>
    <row r="368" spans="1:3">
      <c r="A368" s="131" t="e">
        <f>C1&amp;".E30.LN_BUS.STOR_COMM.OS.PUB"</f>
        <v>#N/A</v>
      </c>
      <c r="B368" s="125">
        <f>ROUND(PAGE9!$E$20,5)</f>
        <v>0</v>
      </c>
      <c r="C368" s="125">
        <f>ROUND(PAGE9!$G$20,5)</f>
        <v>0</v>
      </c>
    </row>
    <row r="369" spans="1:3">
      <c r="A369" s="131" t="e">
        <f>C1&amp;".E30.LN_BUS.STOR_COMM.OS.PVT"</f>
        <v>#N/A</v>
      </c>
      <c r="B369" s="125">
        <f>ROUND(PAGE9!$I$20,5)</f>
        <v>0</v>
      </c>
      <c r="C369" s="125">
        <f>ROUND(PAGE9!$K$20,5)</f>
        <v>0</v>
      </c>
    </row>
    <row r="370" spans="1:3">
      <c r="A370" s="131" t="e">
        <f>C1&amp;".E30.LN_BUS.OTH_TRNSPT.OS.PUB"</f>
        <v>#N/A</v>
      </c>
      <c r="B370" s="125">
        <f>ROUND(PAGE9!$E$23,5)</f>
        <v>0</v>
      </c>
      <c r="C370" s="125">
        <f>ROUND(PAGE9!$G$23,5)</f>
        <v>0</v>
      </c>
    </row>
    <row r="371" spans="1:3">
      <c r="A371" s="131" t="e">
        <f>C1&amp;".E30.LN_BUS.OTH_TRNSPT.OS.PVT"</f>
        <v>#N/A</v>
      </c>
      <c r="B371" s="125">
        <f>ROUND(PAGE9!$I$23,5)</f>
        <v>0</v>
      </c>
      <c r="C371" s="125">
        <f>ROUND(PAGE9!$K$23,5)</f>
        <v>0</v>
      </c>
    </row>
    <row r="372" spans="1:3">
      <c r="A372" s="131" t="e">
        <f>C1&amp;".E30.LN_BUS.BANKS.OS.PUB"</f>
        <v>#N/A</v>
      </c>
      <c r="B372" s="125">
        <f>ROUND(PAGE9!$E$26,5)</f>
        <v>0</v>
      </c>
      <c r="C372" s="125">
        <f>ROUND(PAGE9!$G$26,5)</f>
        <v>0</v>
      </c>
    </row>
    <row r="373" spans="1:3">
      <c r="A373" s="131" t="e">
        <f>C1&amp;".E30.LN_BUS.BANKS.OS.PVT"</f>
        <v>#N/A</v>
      </c>
      <c r="B373" s="125">
        <f>ROUND(PAGE9!$I$26,5)</f>
        <v>0</v>
      </c>
      <c r="C373" s="125">
        <f>ROUND(PAGE9!$K$26,5)</f>
        <v>0</v>
      </c>
    </row>
    <row r="374" spans="1:3">
      <c r="A374" s="131" t="e">
        <f>C1&amp;".E30.LN_BUS.LIFE_INS.OS.PUB"</f>
        <v>#N/A</v>
      </c>
      <c r="B374" s="125">
        <f>ROUND(PAGE9!$E$28,5)</f>
        <v>0</v>
      </c>
      <c r="C374" s="125">
        <f>ROUND(PAGE9!$G$28,5)</f>
        <v>0</v>
      </c>
    </row>
    <row r="375" spans="1:3">
      <c r="A375" s="131" t="e">
        <f>C1&amp;".E30.LN_BUS.LIFE_INS.OS.PVT"</f>
        <v>#N/A</v>
      </c>
      <c r="B375" s="125">
        <f>ROUND(PAGE9!$I$28,5)</f>
        <v>0</v>
      </c>
      <c r="C375" s="125">
        <f>ROUND(PAGE9!$K$28,5)</f>
        <v>0</v>
      </c>
    </row>
    <row r="376" spans="1:3">
      <c r="A376" s="131" t="e">
        <f>C1&amp;".E30.LN_BUS.NLIFE_INS.OS.PUB"</f>
        <v>#N/A</v>
      </c>
      <c r="B376" s="125">
        <f>ROUND(PAGE9!$E$30,5)</f>
        <v>0</v>
      </c>
      <c r="C376" s="125">
        <f>ROUND(PAGE9!$G$30,5)</f>
        <v>0</v>
      </c>
    </row>
    <row r="377" spans="1:3">
      <c r="A377" s="131" t="e">
        <f>C1&amp;".E30.LN_BUS.NLIFE_INS.OS.PVT"</f>
        <v>#N/A</v>
      </c>
      <c r="B377" s="125">
        <f>ROUND(PAGE9!$I$30,5)</f>
        <v>0</v>
      </c>
      <c r="C377" s="125">
        <f>ROUND(PAGE9!$K$30,5)</f>
        <v>0</v>
      </c>
    </row>
    <row r="378" spans="1:3">
      <c r="A378" s="131" t="e">
        <f>C1&amp;".E30.LN_BUS.FIN_ACCPT.OS.PUB"</f>
        <v>#N/A</v>
      </c>
      <c r="B378" s="125">
        <f>ROUND(PAGE9!$E$33,5)</f>
        <v>0</v>
      </c>
      <c r="C378" s="125">
        <f>ROUND(PAGE9!$G$33,5)</f>
        <v>0</v>
      </c>
    </row>
    <row r="379" spans="1:3">
      <c r="A379" s="131" t="e">
        <f>C1&amp;".E30.LN_BUS.FIN_ACCPT.OS.PVT"</f>
        <v>#N/A</v>
      </c>
      <c r="B379" s="125">
        <f>ROUND(PAGE9!$I$33,5)</f>
        <v>0</v>
      </c>
      <c r="C379" s="125">
        <f>ROUND(PAGE9!$K$33,5)</f>
        <v>0</v>
      </c>
    </row>
    <row r="380" spans="1:3">
      <c r="A380" s="131" t="e">
        <f>C1&amp;".E30.LN_BUS.REAL_EST.OS.PUB"</f>
        <v>#N/A</v>
      </c>
      <c r="B380" s="125">
        <f>ROUND(PAGE9!$E$35,5)</f>
        <v>0</v>
      </c>
      <c r="C380" s="125">
        <f>ROUND(PAGE9!$G$35,5)</f>
        <v>0</v>
      </c>
    </row>
    <row r="381" spans="1:3">
      <c r="A381" s="131" t="e">
        <f>C1&amp;".E30.LN_BUS.REAL_EST.OS.PVT"</f>
        <v>#N/A</v>
      </c>
      <c r="B381" s="125">
        <f>ROUND(PAGE9!$I$35,5)</f>
        <v>0</v>
      </c>
      <c r="C381" s="125">
        <f>ROUND(PAGE9!$K$35,5)</f>
        <v>0</v>
      </c>
    </row>
    <row r="382" spans="1:3">
      <c r="A382" s="131" t="e">
        <f>C1&amp;".E30.LN_BUS.ALL_OTH_BUS.OS.PUB"</f>
        <v>#N/A</v>
      </c>
      <c r="B382" s="125">
        <f>ROUND(PAGE9!$E$38,5)</f>
        <v>0</v>
      </c>
      <c r="C382" s="125">
        <f>ROUND(PAGE9!$G$38,5)</f>
        <v>0</v>
      </c>
    </row>
    <row r="383" spans="1:3">
      <c r="A383" s="131" t="e">
        <f>C1&amp;".E30.LN_BUS.ALL_OTH_BUS.OS.PVT"</f>
        <v>#N/A</v>
      </c>
      <c r="B383" s="125">
        <f>ROUND(PAGE9!$I$38,5)</f>
        <v>0</v>
      </c>
      <c r="C383" s="125">
        <f>ROUND(PAGE9!$K$38,5)</f>
        <v>0</v>
      </c>
    </row>
    <row r="384" spans="1:3">
      <c r="A384" s="131" t="e">
        <f>C1&amp;".E30.LN_BUS.EDUC_CULT.OS.PUB"</f>
        <v>#N/A</v>
      </c>
      <c r="B384" s="125">
        <f>ROUND(PAGE9!$E$41,5)</f>
        <v>0</v>
      </c>
      <c r="C384" s="125">
        <f>ROUND(PAGE9!$G$41,5)</f>
        <v>0</v>
      </c>
    </row>
    <row r="385" spans="1:3">
      <c r="A385" s="131" t="e">
        <f>C1&amp;".E30.LN_BUS.EDUC_CULT.OS.PVT"</f>
        <v>#N/A</v>
      </c>
      <c r="B385" s="125">
        <f>ROUND(PAGE9!$I$41,5)</f>
        <v>0</v>
      </c>
      <c r="C385" s="125">
        <f>ROUND(PAGE9!$K$41,5)</f>
        <v>0</v>
      </c>
    </row>
    <row r="386" spans="1:3">
      <c r="A386" s="131" t="e">
        <f>C1&amp;".E30.LN_BUS.HEALTH.OS.PUB"</f>
        <v>#N/A</v>
      </c>
      <c r="B386" s="125">
        <f>ROUND(PAGE9!$E$43,5)</f>
        <v>0</v>
      </c>
      <c r="C386" s="125">
        <f>ROUND(PAGE9!$G$43,5)</f>
        <v>0</v>
      </c>
    </row>
    <row r="387" spans="1:3">
      <c r="A387" s="131" t="e">
        <f>C1&amp;".E30.LN_BUS.HEALTH.OS.PVT"</f>
        <v>#N/A</v>
      </c>
      <c r="B387" s="125">
        <f>ROUND(PAGE9!$I$43,5)</f>
        <v>0</v>
      </c>
      <c r="C387" s="125">
        <f>ROUND(PAGE9!$K$43,5)</f>
        <v>0</v>
      </c>
    </row>
    <row r="388" spans="1:3">
      <c r="A388" s="131" t="e">
        <f>C1&amp;".E30.LN_BUS.RECR_SERV.OS.PUB"</f>
        <v>#N/A</v>
      </c>
      <c r="B388" s="125">
        <f>ROUND(PAGE9!$E$46,5)</f>
        <v>0</v>
      </c>
      <c r="C388" s="125">
        <f>ROUND(PAGE9!$G$46,5)</f>
        <v>0</v>
      </c>
    </row>
    <row r="389" spans="1:3">
      <c r="A389" s="131" t="e">
        <f>C1&amp;".E30.LN_BUS.RECR_SERV.OS.PVT"</f>
        <v>#N/A</v>
      </c>
      <c r="B389" s="125">
        <f>ROUND(PAGE9!$I$46,5)</f>
        <v>0</v>
      </c>
      <c r="C389" s="125">
        <f>ROUND(PAGE9!$K$46,5)</f>
        <v>0</v>
      </c>
    </row>
    <row r="390" spans="1:3">
      <c r="A390" s="131" t="e">
        <f>C1&amp;".E30.LN_BUS.ALL_OTH_PERSNL.OS.PUB"</f>
        <v>#N/A</v>
      </c>
      <c r="B390" s="125">
        <f>ROUND(PAGE9!$E$49,5)</f>
        <v>0</v>
      </c>
      <c r="C390" s="125">
        <f>ROUND(PAGE9!$G$49,5)</f>
        <v>0</v>
      </c>
    </row>
    <row r="391" spans="1:3">
      <c r="A391" s="131" t="e">
        <f>C1&amp;".E30.LN_BUS.ALL_OTH_PERSNL.OS.PVT"</f>
        <v>#N/A</v>
      </c>
      <c r="B391" s="125">
        <f>ROUND(PAGE9!$I$49,5)</f>
        <v>0</v>
      </c>
      <c r="C391" s="125">
        <f>ROUND(PAGE9!$K$49,5)</f>
        <v>0</v>
      </c>
    </row>
    <row r="392" spans="1:3">
      <c r="A392" s="131" t="e">
        <f>C1&amp;".E30.LN_BUS.OTH_PURP.OS.PUB"</f>
        <v>#N/A</v>
      </c>
      <c r="B392" s="125">
        <f>ROUND(PAGE9!$E$51,5)</f>
        <v>0</v>
      </c>
      <c r="C392" s="125">
        <f>ROUND(PAGE9!$G$51,5)</f>
        <v>0</v>
      </c>
    </row>
    <row r="393" spans="1:3">
      <c r="A393" s="131" t="e">
        <f>C1&amp;".E30.LN_BUS.OTH_PURP.OS.PVT"</f>
        <v>#N/A</v>
      </c>
      <c r="B393" s="125">
        <f>ROUND(PAGE9!$I$51,5)</f>
        <v>0</v>
      </c>
      <c r="C393" s="125">
        <f>ROUND(PAGE9!$K$51,5)</f>
        <v>0</v>
      </c>
    </row>
    <row r="394" spans="1:3">
      <c r="A394" s="131" t="e">
        <f>C1&amp;".E30.LN_CONSM.BRDG_FIN.OS."</f>
        <v>#N/A</v>
      </c>
      <c r="B394" s="125">
        <f>ROUND(PAGE10!$D$18,5)</f>
        <v>0</v>
      </c>
      <c r="C394" s="125">
        <f>ROUND(PAGE10!$G$18,5)</f>
        <v>0</v>
      </c>
    </row>
    <row r="395" spans="1:3">
      <c r="A395" s="131" t="e">
        <f>C1&amp;".E30.LN_CONSM.LAND_RE.OS."</f>
        <v>#N/A</v>
      </c>
      <c r="B395" s="125">
        <f>ROUND(PAGE10!$D$20,5)</f>
        <v>0</v>
      </c>
      <c r="C395" s="125">
        <f>ROUND(PAGE10!$G$20,5)</f>
        <v>0</v>
      </c>
    </row>
    <row r="396" spans="1:3">
      <c r="A396" s="131" t="e">
        <f>C1&amp;".E30.LN_CONSM.HOME_IMP.OS."</f>
        <v>#N/A</v>
      </c>
      <c r="B396" s="125">
        <f>ROUND(PAGE10!$D$22,5)</f>
        <v>0</v>
      </c>
      <c r="C396" s="125">
        <f>ROUND(PAGE10!$G$22,5)</f>
        <v>0</v>
      </c>
    </row>
    <row r="397" spans="1:3">
      <c r="A397" s="131" t="e">
        <f>C1&amp;".E30.LN_CONSM.PVT_CARS_NEW.OS."</f>
        <v>#N/A</v>
      </c>
      <c r="B397" s="125">
        <f>ROUND(PAGE10!$D$24,5)</f>
        <v>0</v>
      </c>
      <c r="C397" s="125">
        <f>ROUND(PAGE10!$G$24,5)</f>
        <v>0</v>
      </c>
    </row>
    <row r="398" spans="1:3">
      <c r="A398" s="131" t="e">
        <f>C1&amp;".E30.LN_CONSM.PVT_CARS_USED.OS."</f>
        <v>#N/A</v>
      </c>
      <c r="B398" s="125">
        <f>ROUND(PAGE10!$D$26,5)</f>
        <v>0</v>
      </c>
      <c r="C398" s="125">
        <f>ROUND(PAGE10!$G$26,5)</f>
        <v>0</v>
      </c>
    </row>
    <row r="399" spans="1:3">
      <c r="A399" s="131" t="e">
        <f>C1&amp;".E30.LN_CONSM.OTH_VEH.OS."</f>
        <v>#N/A</v>
      </c>
      <c r="B399" s="125">
        <f>ROUND(PAGE10!$D$28,5)</f>
        <v>0</v>
      </c>
      <c r="C399" s="125">
        <f>ROUND(PAGE10!$G$28,5)</f>
        <v>0</v>
      </c>
    </row>
    <row r="400" spans="1:3">
      <c r="A400" s="131" t="e">
        <f>C1&amp;".E30.LN_CONSM.ELEC_NELEC_APPL.OS."</f>
        <v>#N/A</v>
      </c>
      <c r="B400" s="125">
        <f>ROUND(PAGE10!$D$30,5)</f>
        <v>0</v>
      </c>
      <c r="C400" s="125">
        <f>ROUND(PAGE10!$G$30,5)</f>
        <v>0</v>
      </c>
    </row>
    <row r="401" spans="1:3">
      <c r="A401" s="131" t="e">
        <f>C1&amp;".E30.LN_CONSM.RADIO_MUS_INST.OS."</f>
        <v>#N/A</v>
      </c>
      <c r="B401" s="125">
        <f>ROUND(PAGE10!$D$32,5)</f>
        <v>0</v>
      </c>
      <c r="C401" s="125">
        <f>ROUND(PAGE10!$G$32,5)</f>
        <v>0</v>
      </c>
    </row>
    <row r="402" spans="1:3">
      <c r="A402" s="131" t="e">
        <f>C1&amp;".E30.LN_CONSM.OTH_FURN.OS."</f>
        <v>#N/A</v>
      </c>
      <c r="B402" s="125">
        <f>ROUND(PAGE10!$D$34,5)</f>
        <v>0</v>
      </c>
      <c r="C402" s="125">
        <f>ROUND(PAGE10!$G$34,5)</f>
        <v>0</v>
      </c>
    </row>
    <row r="403" spans="1:3">
      <c r="A403" s="131" t="e">
        <f>C1&amp;".E30.LN_CONSM.PURCH_NEW_SHARES.OS."</f>
        <v>#N/A</v>
      </c>
      <c r="B403" s="125">
        <f>ROUND(PAGE10!$D$36,5)</f>
        <v>0</v>
      </c>
      <c r="C403" s="125">
        <f>ROUND(PAGE10!$G$36,5)</f>
        <v>0</v>
      </c>
    </row>
    <row r="404" spans="1:3">
      <c r="A404" s="131" t="e">
        <f>C1&amp;".E30.LN_CONSM.PURCH_OTH_FIN_ASST.OS."</f>
        <v>#N/A</v>
      </c>
      <c r="B404" s="125">
        <f>ROUND(PAGE10!$D$38,5)</f>
        <v>0</v>
      </c>
      <c r="C404" s="125">
        <f>ROUND(PAGE10!$G$38,5)</f>
        <v>0</v>
      </c>
    </row>
    <row r="405" spans="1:3">
      <c r="A405" s="131" t="e">
        <f>C1&amp;".E30.LN_CONSM.EDUC.OS."</f>
        <v>#N/A</v>
      </c>
      <c r="B405" s="125">
        <f>ROUND(PAGE10!$D$40,5)</f>
        <v>0</v>
      </c>
      <c r="C405" s="125">
        <f>ROUND(PAGE10!$G$40,5)</f>
        <v>0</v>
      </c>
    </row>
    <row r="406" spans="1:3">
      <c r="A406" s="131" t="e">
        <f>C1&amp;".E30.LN_CONSM.MEDICAL.OS."</f>
        <v>#N/A</v>
      </c>
      <c r="B406" s="125">
        <f>ROUND(PAGE10!$D$42,5)</f>
        <v>0</v>
      </c>
      <c r="C406" s="125">
        <f>ROUND(PAGE10!$G$42,5)</f>
        <v>0</v>
      </c>
    </row>
    <row r="407" spans="1:3">
      <c r="A407" s="131" t="e">
        <f>C1&amp;".E30.LN_CONSM.TRAVEL.OS."</f>
        <v>#N/A</v>
      </c>
      <c r="B407" s="125">
        <f>ROUND(PAGE10!$D$44,5)</f>
        <v>0</v>
      </c>
      <c r="C407" s="125">
        <f>ROUND(PAGE10!$G$44,5)</f>
        <v>0</v>
      </c>
    </row>
    <row r="408" spans="1:3">
      <c r="A408" s="131" t="e">
        <f>C1&amp;".E30.LN_CONSM.INSUR.OS."</f>
        <v>#N/A</v>
      </c>
      <c r="B408" s="125">
        <f>ROUND(PAGE10!$D$46,5)</f>
        <v>0</v>
      </c>
      <c r="C408" s="125">
        <f>ROUND(PAGE10!$G$46,5)</f>
        <v>0</v>
      </c>
    </row>
    <row r="409" spans="1:3">
      <c r="A409" s="131" t="e">
        <f>C1&amp;".E30.LN_CONSM.PROF_SERV.OS."</f>
        <v>#N/A</v>
      </c>
      <c r="B409" s="125">
        <f>ROUND(PAGE10!$D$49,5)</f>
        <v>0</v>
      </c>
      <c r="C409" s="125">
        <f>ROUND(PAGE10!$G$49,5)</f>
        <v>0</v>
      </c>
    </row>
    <row r="410" spans="1:3">
      <c r="A410" s="131" t="e">
        <f>C1&amp;".E30.LN_CONSM.REFIN.OS."</f>
        <v>#N/A</v>
      </c>
      <c r="B410" s="125">
        <f>ROUND(PAGE10!$D$51,5)</f>
        <v>0</v>
      </c>
      <c r="C410" s="125">
        <f>ROUND(PAGE10!$G$51,5)</f>
        <v>0</v>
      </c>
    </row>
    <row r="411" spans="1:3">
      <c r="A411" s="131" t="e">
        <f>C1&amp;".E30.LN_CONSM.CONS_DEBT.OS."</f>
        <v>#N/A</v>
      </c>
      <c r="B411" s="125">
        <f>ROUND(PAGE10!$D$53,5)</f>
        <v>0</v>
      </c>
      <c r="C411" s="125">
        <f>ROUND(PAGE10!$G$53,5)</f>
        <v>0</v>
      </c>
    </row>
    <row r="412" spans="1:3">
      <c r="A412" s="131" t="e">
        <f>C1&amp;".E30.LN_CONSM.OTH_PURP.OS."</f>
        <v>#N/A</v>
      </c>
      <c r="B412" s="125">
        <f>ROUND(PAGE10!$D$55,5)</f>
        <v>0</v>
      </c>
      <c r="C412" s="125">
        <f>ROUND(PAGE10!$G$55,5)</f>
        <v>0</v>
      </c>
    </row>
    <row r="413" spans="1:3">
      <c r="A413" s="133" t="s">
        <v>433</v>
      </c>
      <c r="B413" s="125" t="s">
        <v>415</v>
      </c>
      <c r="C413" s="125" t="s">
        <v>416</v>
      </c>
    </row>
    <row r="414" spans="1:3">
      <c r="A414" s="124" t="e">
        <f>C1&amp;".E30."&amp;T(PAGE10!$B$57)&amp;"."</f>
        <v>#N/A</v>
      </c>
      <c r="B414" s="125">
        <f>ROUND(PAGE10!$D$57,5)</f>
        <v>0</v>
      </c>
      <c r="C414" s="125">
        <f>ROUND(PAGE10!$G$57,5)</f>
        <v>0</v>
      </c>
    </row>
    <row r="415" spans="1:3">
      <c r="A415" s="124" t="e">
        <f>C1&amp;".E30."&amp;T(PAGE10!$B$59)&amp;"."</f>
        <v>#N/A</v>
      </c>
      <c r="B415" s="125">
        <f>ROUND(PAGE10!$D$59,5)</f>
        <v>0</v>
      </c>
      <c r="C415" s="125">
        <f>ROUND(PAGE10!$G$59,5)</f>
        <v>0</v>
      </c>
    </row>
    <row r="416" spans="1:3">
      <c r="A416" s="124" t="e">
        <f>C1&amp;".E30."&amp;T(PAGE10!$B$61)&amp;"."</f>
        <v>#N/A</v>
      </c>
      <c r="B416" s="125">
        <f>ROUND(PAGE10!$D$61,5)</f>
        <v>0</v>
      </c>
      <c r="C416" s="125">
        <f>ROUND(PAGE10!$G$61,5)</f>
        <v>0</v>
      </c>
    </row>
    <row r="417" spans="1:3">
      <c r="A417" s="124" t="e">
        <f>C1&amp;".E30."&amp;T(PAGE10!$B$63)&amp;"."</f>
        <v>#N/A</v>
      </c>
      <c r="B417" s="125">
        <f>ROUND(PAGE10!$D$63,5)</f>
        <v>0</v>
      </c>
      <c r="C417" s="125">
        <f>ROUND(PAGE10!$G$63,5)</f>
        <v>0</v>
      </c>
    </row>
    <row r="418" spans="1:3">
      <c r="A418" s="124" t="e">
        <f>C1&amp;".E30."&amp;T(PAGE10!$B$65)&amp;"."</f>
        <v>#N/A</v>
      </c>
      <c r="B418" s="125">
        <f>ROUND(PAGE10!$D$65,5)</f>
        <v>0</v>
      </c>
      <c r="C418" s="125">
        <f>ROUND(PAGE10!$G$65,5)</f>
        <v>0</v>
      </c>
    </row>
    <row r="419" spans="1:3">
      <c r="A419" s="135" t="s">
        <v>434</v>
      </c>
      <c r="B419" s="125" t="s">
        <v>415</v>
      </c>
      <c r="C419" s="125" t="s">
        <v>435</v>
      </c>
    </row>
    <row r="420" spans="1:3">
      <c r="A420" s="131" t="e">
        <f>C1&amp;".E30.LN_INT.0_1_PERCT.OS."</f>
        <v>#N/A</v>
      </c>
      <c r="B420" s="125">
        <f>ROUND(PAGE11!$D$17,5)</f>
        <v>0</v>
      </c>
      <c r="C420" s="125">
        <f>ROUND(PAGE11!$I$17,5)</f>
        <v>0</v>
      </c>
    </row>
    <row r="421" spans="1:3">
      <c r="A421" s="131" t="e">
        <f>C1&amp;".E30.LN_INT.1.1_2_PERCT.OS."</f>
        <v>#N/A</v>
      </c>
      <c r="B421" s="125">
        <f>ROUND(PAGE11!$D$19,5)</f>
        <v>0</v>
      </c>
      <c r="C421" s="125">
        <f>ROUND(PAGE11!$I$19,5)</f>
        <v>0</v>
      </c>
    </row>
    <row r="422" spans="1:3">
      <c r="A422" s="131" t="e">
        <f>C1&amp;".E30.LN_INT.2.1_3_PERCT.OS."</f>
        <v>#N/A</v>
      </c>
      <c r="B422" s="125">
        <f>ROUND(PAGE11!$D$21,5)</f>
        <v>0</v>
      </c>
      <c r="C422" s="125">
        <f>ROUND(PAGE11!$I$21,5)</f>
        <v>0</v>
      </c>
    </row>
    <row r="423" spans="1:3">
      <c r="A423" s="131" t="e">
        <f>C1&amp;".E30.LN_INT.3.1_4_PERCT.OS."</f>
        <v>#N/A</v>
      </c>
      <c r="B423" s="125">
        <f>ROUND(PAGE11!$D$23,5)</f>
        <v>0</v>
      </c>
      <c r="C423" s="125">
        <f>ROUND(PAGE11!$I$23,5)</f>
        <v>0</v>
      </c>
    </row>
    <row r="424" spans="1:3">
      <c r="A424" s="131" t="e">
        <f>C1&amp;".E30.LN_INT.4.1_5_PERCT.OS."</f>
        <v>#N/A</v>
      </c>
      <c r="B424" s="125">
        <f>ROUND(PAGE11!$D$25,5)</f>
        <v>0</v>
      </c>
      <c r="C424" s="125">
        <f>ROUND(PAGE11!$I$25,5)</f>
        <v>0</v>
      </c>
    </row>
    <row r="425" spans="1:3">
      <c r="A425" s="131" t="e">
        <f>C1&amp;".E30.LN_INT.5.1_6_PERCT.OS."</f>
        <v>#N/A</v>
      </c>
      <c r="B425" s="125">
        <f>ROUND(PAGE11!$D$27,5)</f>
        <v>0</v>
      </c>
      <c r="C425" s="125">
        <f>ROUND(PAGE11!$I$27,5)</f>
        <v>0</v>
      </c>
    </row>
    <row r="426" spans="1:3">
      <c r="A426" s="131" t="e">
        <f>C1&amp;".E30.LN_INT.6.1_7_PERCT.OS."</f>
        <v>#N/A</v>
      </c>
      <c r="B426" s="125">
        <f>ROUND(PAGE11!$D$29,5)</f>
        <v>0</v>
      </c>
      <c r="C426" s="125">
        <f>ROUND(PAGE11!$I$29,5)</f>
        <v>0</v>
      </c>
    </row>
    <row r="427" spans="1:3">
      <c r="A427" s="131" t="e">
        <f>C1&amp;".E30.LN_INT.7.1_8_PERCT.OS."</f>
        <v>#N/A</v>
      </c>
      <c r="B427" s="125">
        <f>ROUND(PAGE11!$D$31,5)</f>
        <v>0</v>
      </c>
      <c r="C427" s="125">
        <f>ROUND(PAGE11!$I$31,5)</f>
        <v>0</v>
      </c>
    </row>
    <row r="428" spans="1:3">
      <c r="A428" s="131" t="e">
        <f>C1&amp;".E30.LN_INT.8.1_9_PERCT.OS."</f>
        <v>#N/A</v>
      </c>
      <c r="B428" s="125">
        <f>ROUND(PAGE11!$D$33,5)</f>
        <v>0</v>
      </c>
      <c r="C428" s="125">
        <f>ROUND(PAGE11!$I$33,5)</f>
        <v>0</v>
      </c>
    </row>
    <row r="429" spans="1:3">
      <c r="A429" s="131" t="e">
        <f>C1&amp;".E30.LN_INT.9.1_10_PERCT.OS."</f>
        <v>#N/A</v>
      </c>
      <c r="B429" s="125">
        <f>ROUND(PAGE11!$D$35,5)</f>
        <v>0</v>
      </c>
      <c r="C429" s="125">
        <f>ROUND(PAGE11!$I$35,5)</f>
        <v>0</v>
      </c>
    </row>
    <row r="430" spans="1:3">
      <c r="A430" s="131" t="e">
        <f>C1&amp;".E30.LN_INT.10.1_11_PERCT.OS."</f>
        <v>#N/A</v>
      </c>
      <c r="B430" s="125">
        <f>ROUND(PAGE11!$D$37,5)</f>
        <v>0</v>
      </c>
      <c r="C430" s="125">
        <f>ROUND(PAGE11!$I$37,5)</f>
        <v>0</v>
      </c>
    </row>
    <row r="431" spans="1:3">
      <c r="A431" s="131" t="e">
        <f>C1&amp;".E30.LN_INT.11.1_12_PERCT.OS."</f>
        <v>#N/A</v>
      </c>
      <c r="B431" s="125">
        <f>ROUND(PAGE11!$D$39,5)</f>
        <v>0</v>
      </c>
      <c r="C431" s="125">
        <f>ROUND(PAGE11!$I$39,5)</f>
        <v>0</v>
      </c>
    </row>
    <row r="432" spans="1:3">
      <c r="A432" s="131" t="e">
        <f>C1&amp;".E30.LN_INT.12.1_13_PERCT.OS."</f>
        <v>#N/A</v>
      </c>
      <c r="B432" s="125">
        <f>ROUND(PAGE11!$D$41,5)</f>
        <v>0</v>
      </c>
      <c r="C432" s="125">
        <f>ROUND(PAGE11!$I$41,5)</f>
        <v>0</v>
      </c>
    </row>
    <row r="433" spans="1:3">
      <c r="A433" s="131" t="e">
        <f>C1&amp;".E30.LN_INT.13.1_14_PERCT.OS."</f>
        <v>#N/A</v>
      </c>
      <c r="B433" s="125">
        <f>ROUND(PAGE11!$D$43,5)</f>
        <v>0</v>
      </c>
      <c r="C433" s="125">
        <f>ROUND(PAGE11!$I$43,5)</f>
        <v>0</v>
      </c>
    </row>
    <row r="434" spans="1:3">
      <c r="A434" s="131" t="e">
        <f>C1&amp;".E30.LN_INT.14.1_15_PERCT.OS."</f>
        <v>#N/A</v>
      </c>
      <c r="B434" s="125">
        <f>ROUND(PAGE11!$D$45,5)</f>
        <v>0</v>
      </c>
      <c r="C434" s="125">
        <f>ROUND(PAGE11!$I$45,5)</f>
        <v>0</v>
      </c>
    </row>
    <row r="435" spans="1:3">
      <c r="A435" s="131" t="e">
        <f>C1&amp;".E30.LN_INT.15.1_16_PERCT.OS."</f>
        <v>#N/A</v>
      </c>
      <c r="B435" s="125">
        <f>ROUND(PAGE11!$D$47,5)</f>
        <v>0</v>
      </c>
      <c r="C435" s="125">
        <f>ROUND(PAGE11!$I$47,5)</f>
        <v>0</v>
      </c>
    </row>
    <row r="436" spans="1:3">
      <c r="A436" s="131" t="e">
        <f>C1&amp;".E30.LN_INT.16.1_17_PERCT.OS."</f>
        <v>#N/A</v>
      </c>
      <c r="B436" s="125">
        <f>ROUND(PAGE11!$D$49,5)</f>
        <v>0</v>
      </c>
      <c r="C436" s="125">
        <f>ROUND(PAGE11!$I$49,5)</f>
        <v>0</v>
      </c>
    </row>
    <row r="437" spans="1:3">
      <c r="A437" s="131" t="e">
        <f>C1&amp;".E30.LN_INT.17.1_18_PERCT.OS."</f>
        <v>#N/A</v>
      </c>
      <c r="B437" s="125">
        <f>ROUND(PAGE11!$D$51,5)</f>
        <v>0</v>
      </c>
      <c r="C437" s="125">
        <f>ROUND(PAGE11!$I$51,5)</f>
        <v>0</v>
      </c>
    </row>
    <row r="438" spans="1:3">
      <c r="A438" s="131" t="e">
        <f>C1&amp;".E30.LN_INT.18.1_19_PERCT.OS."</f>
        <v>#N/A</v>
      </c>
      <c r="B438" s="125">
        <f>ROUND(PAGE11!$D$53,5)</f>
        <v>0</v>
      </c>
      <c r="C438" s="125">
        <f>ROUND(PAGE11!$I$53,5)</f>
        <v>0</v>
      </c>
    </row>
    <row r="439" spans="1:3">
      <c r="A439" s="131" t="e">
        <f>C1&amp;".E30.LN_INT.19.1_20_PERCT.OS."</f>
        <v>#N/A</v>
      </c>
      <c r="B439" s="125">
        <f>ROUND(PAGE11!$D$55,5)</f>
        <v>0</v>
      </c>
      <c r="C439" s="125">
        <f>ROUND(PAGE11!$I$55,5)</f>
        <v>0</v>
      </c>
    </row>
    <row r="440" spans="1:3">
      <c r="A440" s="131" t="e">
        <f>C1&amp;".E30.LN_INT.20.1_21_PERCT.OS."</f>
        <v>#N/A</v>
      </c>
      <c r="B440" s="125">
        <f>ROUND(PAGE11!$D$57,5)</f>
        <v>0</v>
      </c>
      <c r="C440" s="125">
        <f>ROUND(PAGE11!$I$57,5)</f>
        <v>0</v>
      </c>
    </row>
    <row r="441" spans="1:3">
      <c r="A441" s="131" t="e">
        <f>C1&amp;".E30.LN_INT.21.1_22_PERCT.OS."</f>
        <v>#N/A</v>
      </c>
      <c r="B441" s="125">
        <f>ROUND(PAGE11!$D$59,5)</f>
        <v>0</v>
      </c>
      <c r="C441" s="125">
        <f>ROUND(PAGE11!$I$59,5)</f>
        <v>0</v>
      </c>
    </row>
    <row r="442" spans="1:3">
      <c r="A442" s="131" t="e">
        <f>C1&amp;".E30.LN_INT.22.1_23_PERCT.OS."</f>
        <v>#N/A</v>
      </c>
      <c r="B442" s="125">
        <f>ROUND(PAGE11!$D$61,5)</f>
        <v>0</v>
      </c>
      <c r="C442" s="125">
        <f>ROUND(PAGE11!$I$61,5)</f>
        <v>0</v>
      </c>
    </row>
    <row r="443" spans="1:3">
      <c r="A443" s="131" t="e">
        <f>C1&amp;".E30.LN_INT.23.1_24_PERCT.OS."</f>
        <v>#N/A</v>
      </c>
      <c r="B443" s="125">
        <f>ROUND(PAGE11!$D$63,5)</f>
        <v>0</v>
      </c>
      <c r="C443" s="125">
        <f>ROUND(PAGE11!$I$63,5)</f>
        <v>0</v>
      </c>
    </row>
    <row r="444" spans="1:3">
      <c r="A444" s="131" t="e">
        <f>C1&amp;".E30.LN_INT.OVR_24_PERCT.OS."</f>
        <v>#N/A</v>
      </c>
      <c r="B444" s="125">
        <f>ROUND(PAGE11!$D$65,5)</f>
        <v>0</v>
      </c>
      <c r="C444" s="125">
        <f>ROUND(PAGE11!$I$65,5)</f>
        <v>0</v>
      </c>
    </row>
    <row r="445" spans="1:3">
      <c r="A445" s="131" t="e">
        <f>C1&amp;".E30.FOR_LN_INT.0_1_PERCT.OS."</f>
        <v>#N/A</v>
      </c>
      <c r="B445" s="125">
        <f>ROUND(PAGE12!$E$19,5)</f>
        <v>0</v>
      </c>
      <c r="C445" s="125">
        <f>ROUND(PAGE12!$I$19,5)</f>
        <v>0</v>
      </c>
    </row>
    <row r="446" spans="1:3">
      <c r="A446" s="131" t="e">
        <f>C1&amp;".E30.FOR_LN_INT.1.1_2_PERCT.OS."</f>
        <v>#N/A</v>
      </c>
      <c r="B446" s="125">
        <f>ROUND(PAGE12!$E$21,5)</f>
        <v>0</v>
      </c>
      <c r="C446" s="125">
        <f>ROUND(PAGE12!$I$21,5)</f>
        <v>0</v>
      </c>
    </row>
    <row r="447" spans="1:3">
      <c r="A447" s="131" t="e">
        <f>C1&amp;".E30.FOR_LN_INT.2.1_3_PERCT.OS."</f>
        <v>#N/A</v>
      </c>
      <c r="B447" s="125">
        <f>ROUND(PAGE12!$E$23,5)</f>
        <v>0</v>
      </c>
      <c r="C447" s="125">
        <f>ROUND(PAGE12!$I$23,5)</f>
        <v>0</v>
      </c>
    </row>
    <row r="448" spans="1:3">
      <c r="A448" s="131" t="e">
        <f>C1&amp;".E30.FOR_LN_INT.3.1_4_PERCT.OS."</f>
        <v>#N/A</v>
      </c>
      <c r="B448" s="125">
        <f>ROUND(PAGE12!$E$25,5)</f>
        <v>0</v>
      </c>
      <c r="C448" s="125">
        <f>ROUND(PAGE12!$I$25,5)</f>
        <v>0</v>
      </c>
    </row>
    <row r="449" spans="1:3">
      <c r="A449" s="131" t="e">
        <f>C1&amp;".E30.FOR_LN_INT.4.1_5_PERCT.OS."</f>
        <v>#N/A</v>
      </c>
      <c r="B449" s="125">
        <f>ROUND(PAGE12!$E$27,5)</f>
        <v>0</v>
      </c>
      <c r="C449" s="125">
        <f>ROUND(PAGE12!$I$27,5)</f>
        <v>0</v>
      </c>
    </row>
    <row r="450" spans="1:3">
      <c r="A450" s="131" t="e">
        <f>C1&amp;".E30.FOR_LN_INT.5.1_6_PERCT.OS."</f>
        <v>#N/A</v>
      </c>
      <c r="B450" s="125">
        <f>ROUND(PAGE12!$E$29,5)</f>
        <v>0</v>
      </c>
      <c r="C450" s="125">
        <f>ROUND(PAGE12!$I$29,5)</f>
        <v>0</v>
      </c>
    </row>
    <row r="451" spans="1:3">
      <c r="A451" s="131" t="e">
        <f>C1&amp;".E30.FOR_LN_INT.6.1_7_PERCT.OS."</f>
        <v>#N/A</v>
      </c>
      <c r="B451" s="125">
        <f>ROUND(PAGE12!$E$31,5)</f>
        <v>0</v>
      </c>
      <c r="C451" s="125">
        <f>ROUND(PAGE12!$I$31,5)</f>
        <v>0</v>
      </c>
    </row>
    <row r="452" spans="1:3">
      <c r="A452" s="131" t="e">
        <f>C1&amp;".E30.FOR_LN_INT.7.1_8_PERCT.OS."</f>
        <v>#N/A</v>
      </c>
      <c r="B452" s="125">
        <f>ROUND(PAGE12!$E$33,5)</f>
        <v>0</v>
      </c>
      <c r="C452" s="125">
        <f>ROUND(PAGE12!$I$33,5)</f>
        <v>0</v>
      </c>
    </row>
    <row r="453" spans="1:3">
      <c r="A453" s="131" t="e">
        <f>C1&amp;".E30.FOR_LN_INT.8.1_9_PERCT.OS."</f>
        <v>#N/A</v>
      </c>
      <c r="B453" s="125">
        <f>ROUND(PAGE12!$E$35,5)</f>
        <v>0</v>
      </c>
      <c r="C453" s="125">
        <f>ROUND(PAGE12!$I$35,5)</f>
        <v>0</v>
      </c>
    </row>
    <row r="454" spans="1:3">
      <c r="A454" s="131" t="e">
        <f>C1&amp;".E30.FOR_LN_INT.9.1_10_PERCT.OS."</f>
        <v>#N/A</v>
      </c>
      <c r="B454" s="125">
        <f>ROUND(PAGE12!$E$37,5)</f>
        <v>0</v>
      </c>
      <c r="C454" s="125">
        <f>ROUND(PAGE12!$I$37,5)</f>
        <v>0</v>
      </c>
    </row>
    <row r="455" spans="1:3">
      <c r="A455" s="131" t="e">
        <f>C1&amp;".E30.FOR_LN_INT.10.1_11_PERCT.OS."</f>
        <v>#N/A</v>
      </c>
      <c r="B455" s="125">
        <f>ROUND(PAGE12!$E$39,5)</f>
        <v>0</v>
      </c>
      <c r="C455" s="125">
        <f>ROUND(PAGE12!$I$39,5)</f>
        <v>0</v>
      </c>
    </row>
    <row r="456" spans="1:3">
      <c r="A456" s="131" t="e">
        <f>C1&amp;".E30.FOR_LN_INT.11.1_12_PERCT.OS."</f>
        <v>#N/A</v>
      </c>
      <c r="B456" s="125">
        <f>ROUND(PAGE12!$E$41,5)</f>
        <v>0</v>
      </c>
      <c r="C456" s="125">
        <f>ROUND(PAGE12!$I$41,5)</f>
        <v>0</v>
      </c>
    </row>
    <row r="457" spans="1:3">
      <c r="A457" s="131" t="e">
        <f>C1&amp;".E30.FOR_LN_INT.12.1_13_PERCT.OS."</f>
        <v>#N/A</v>
      </c>
      <c r="B457" s="125">
        <f>ROUND(PAGE12!$E$43,5)</f>
        <v>0</v>
      </c>
      <c r="C457" s="125">
        <f>ROUND(PAGE12!$I$43,5)</f>
        <v>0</v>
      </c>
    </row>
    <row r="458" spans="1:3">
      <c r="A458" s="131" t="e">
        <f>C1&amp;".E30.FOR_LN_INT.13.1_14_PERCT.OS."</f>
        <v>#N/A</v>
      </c>
      <c r="B458" s="125">
        <f>ROUND(PAGE12!$E$45,5)</f>
        <v>0</v>
      </c>
      <c r="C458" s="125">
        <f>ROUND(PAGE12!$I$45,5)</f>
        <v>0</v>
      </c>
    </row>
    <row r="459" spans="1:3">
      <c r="A459" s="131" t="e">
        <f>C1&amp;".E30.FOR_LN_INT.14.1_15_PERCT.OS."</f>
        <v>#N/A</v>
      </c>
      <c r="B459" s="125">
        <f>ROUND(PAGE12!$E$47,5)</f>
        <v>0</v>
      </c>
      <c r="C459" s="125">
        <f>ROUND(PAGE12!$I$47,5)</f>
        <v>0</v>
      </c>
    </row>
    <row r="460" spans="1:3">
      <c r="A460" s="131" t="e">
        <f>C1&amp;".E30.FOR_LN_INT.15.1_16_PERCT.OS."</f>
        <v>#N/A</v>
      </c>
      <c r="B460" s="125">
        <f>ROUND(PAGE12!$E$49,5)</f>
        <v>0</v>
      </c>
      <c r="C460" s="125">
        <f>ROUND(PAGE12!$I$49,5)</f>
        <v>0</v>
      </c>
    </row>
    <row r="461" spans="1:3">
      <c r="A461" s="131" t="e">
        <f>C1&amp;".E30.FOR_LN_INT.16.1_17_PERCT.OS."</f>
        <v>#N/A</v>
      </c>
      <c r="B461" s="125">
        <f>ROUND(PAGE12!$E$51,5)</f>
        <v>0</v>
      </c>
      <c r="C461" s="125">
        <f>ROUND(PAGE12!$I$51,5)</f>
        <v>0</v>
      </c>
    </row>
    <row r="462" spans="1:3">
      <c r="A462" s="131" t="e">
        <f>C1&amp;".E30.FOR_LN_INT.17.1_18_PERCT.OS."</f>
        <v>#N/A</v>
      </c>
      <c r="B462" s="125">
        <f>ROUND(PAGE12!$E$53,5)</f>
        <v>0</v>
      </c>
      <c r="C462" s="125">
        <f>ROUND(PAGE12!$I$53,5)</f>
        <v>0</v>
      </c>
    </row>
    <row r="463" spans="1:3">
      <c r="A463" s="131" t="e">
        <f>C1&amp;".E30.FOR_LN_INT.18.1_19_PERCT.OS."</f>
        <v>#N/A</v>
      </c>
      <c r="B463" s="125">
        <f>ROUND(PAGE12!$E$55,5)</f>
        <v>0</v>
      </c>
      <c r="C463" s="125">
        <f>ROUND(PAGE12!$I$55,5)</f>
        <v>0</v>
      </c>
    </row>
    <row r="464" spans="1:3">
      <c r="A464" s="131" t="e">
        <f>C1&amp;".E30.FOR_LN_INT.19.1_20_PERCT.OS."</f>
        <v>#N/A</v>
      </c>
      <c r="B464" s="125">
        <f>ROUND(PAGE12!$E$57,5)</f>
        <v>0</v>
      </c>
      <c r="C464" s="125">
        <f>ROUND(PAGE12!$I$57,5)</f>
        <v>0</v>
      </c>
    </row>
    <row r="465" spans="1:4">
      <c r="A465" s="131" t="e">
        <f>C1&amp;".E30.FOR_LN_INT.20.1_21_PERCT.OS."</f>
        <v>#N/A</v>
      </c>
      <c r="B465" s="125">
        <f>ROUND(PAGE12!$E$59,5)</f>
        <v>0</v>
      </c>
      <c r="C465" s="125">
        <f>ROUND(PAGE12!$I$59,5)</f>
        <v>0</v>
      </c>
    </row>
    <row r="466" spans="1:4">
      <c r="A466" s="131" t="e">
        <f>C1&amp;".E30.FOR_LN_INT.21.1_22_PERCT.OS."</f>
        <v>#N/A</v>
      </c>
      <c r="B466" s="125">
        <f>ROUND(PAGE12!$E$61,5)</f>
        <v>0</v>
      </c>
      <c r="C466" s="125">
        <f>ROUND(PAGE12!$I$61,5)</f>
        <v>0</v>
      </c>
    </row>
    <row r="467" spans="1:4">
      <c r="A467" s="131" t="e">
        <f>C1&amp;".E30.FOR_LN_INT.22.1_23_PERCT.OS."</f>
        <v>#N/A</v>
      </c>
      <c r="B467" s="125">
        <f>ROUND(PAGE12!$E$63,5)</f>
        <v>0</v>
      </c>
      <c r="C467" s="125">
        <f>ROUND(PAGE12!$I$63,5)</f>
        <v>0</v>
      </c>
    </row>
    <row r="468" spans="1:4">
      <c r="A468" s="131" t="e">
        <f>C1&amp;".E30.FOR_LN_INT.23.1_24_PERCT.OS."</f>
        <v>#N/A</v>
      </c>
      <c r="B468" s="125">
        <f>ROUND(PAGE12!$E$65,5)</f>
        <v>0</v>
      </c>
      <c r="C468" s="125">
        <f>ROUND(PAGE12!$I$65,5)</f>
        <v>0</v>
      </c>
    </row>
    <row r="469" spans="1:4">
      <c r="A469" s="131" t="e">
        <f>C1&amp;".E30.FOR_LN_INT.OVR_24_PERCT.OS."</f>
        <v>#N/A</v>
      </c>
      <c r="B469" s="125">
        <f>ROUND(PAGE12!$E$67,5)</f>
        <v>0</v>
      </c>
      <c r="C469" s="125">
        <f>ROUND(PAGE12!$I$67,5)</f>
        <v>0</v>
      </c>
    </row>
    <row r="470" spans="1:4">
      <c r="A470" s="136" t="s">
        <v>436</v>
      </c>
      <c r="B470" s="125" t="s">
        <v>437</v>
      </c>
      <c r="C470" s="125" t="s">
        <v>415</v>
      </c>
      <c r="D470" s="125" t="s">
        <v>435</v>
      </c>
    </row>
    <row r="471" spans="1:4">
      <c r="A471" s="131" t="e">
        <f>C1&amp;".E30.LN_INT.MAX_RATE.OS."</f>
        <v>#N/A</v>
      </c>
      <c r="B471" s="125">
        <f>ROUND(PAGE11!$A$69,5)</f>
        <v>0</v>
      </c>
      <c r="C471" s="125">
        <f>ROUND(PAGE11!$D$69,5)</f>
        <v>0</v>
      </c>
      <c r="D471" s="125">
        <f>ROUND(PAGE11!$I$69,5)</f>
        <v>0</v>
      </c>
    </row>
    <row r="472" spans="1:4">
      <c r="A472" s="131" t="e">
        <f>C1&amp;".E30.FOR_LN_INT.MAX_RATE.OS."</f>
        <v>#N/A</v>
      </c>
      <c r="B472" s="125">
        <f>ROUND(PAGE12!$A$71,5)</f>
        <v>0</v>
      </c>
      <c r="C472" s="125">
        <f>ROUND(PAGE12!$E$71,5)</f>
        <v>0</v>
      </c>
      <c r="D472" s="125">
        <f>ROUND(PAGE12!$I$71,5)</f>
        <v>0</v>
      </c>
    </row>
    <row r="473" spans="1:4">
      <c r="A473" s="136" t="s">
        <v>438</v>
      </c>
      <c r="B473" s="125" t="s">
        <v>415</v>
      </c>
      <c r="C473" s="125" t="s">
        <v>416</v>
      </c>
    </row>
    <row r="474" spans="1:4">
      <c r="A474" s="131" t="e">
        <f>C1&amp;".E30.LN_AGR_PER.1YR.NEW_CR."</f>
        <v>#N/A</v>
      </c>
      <c r="B474" s="125">
        <f>ROUND(PAGE13!$D$19,5)</f>
        <v>0</v>
      </c>
      <c r="C474" s="125">
        <f>ROUND(PAGE13!$H$19,5)</f>
        <v>0</v>
      </c>
    </row>
    <row r="475" spans="1:4">
      <c r="A475" s="131" t="e">
        <f>C1&amp;".E30.LN_AGR_PER.1TO2YRS.NEW_CR."</f>
        <v>#N/A</v>
      </c>
      <c r="B475" s="125">
        <f>ROUND(PAGE13!$D$21,5)</f>
        <v>0</v>
      </c>
      <c r="C475" s="125">
        <f>ROUND(PAGE13!$H$21,5)</f>
        <v>0</v>
      </c>
    </row>
    <row r="476" spans="1:4">
      <c r="A476" s="131" t="e">
        <f>C1&amp;".E30.LN_AGR_PER.2TO3YRS.NEW_CR."</f>
        <v>#N/A</v>
      </c>
      <c r="B476" s="125">
        <f>ROUND(PAGE13!$D$23,5)</f>
        <v>0</v>
      </c>
      <c r="C476" s="125">
        <f>ROUND(PAGE13!$H$23,5)</f>
        <v>0</v>
      </c>
    </row>
    <row r="477" spans="1:4">
      <c r="A477" s="131" t="e">
        <f>C1&amp;".E30.LN_AGR_PER.3TO4YRS.NEW_CR."</f>
        <v>#N/A</v>
      </c>
      <c r="B477" s="125">
        <f>ROUND(PAGE13!$D$25,5)</f>
        <v>0</v>
      </c>
      <c r="C477" s="125">
        <f>ROUND(PAGE13!$H$25,5)</f>
        <v>0</v>
      </c>
    </row>
    <row r="478" spans="1:4">
      <c r="A478" s="131" t="e">
        <f>C1&amp;".E30.LN_AGR_PER.4TO5YRS.NEW_CR."</f>
        <v>#N/A</v>
      </c>
      <c r="B478" s="125">
        <f>ROUND(PAGE13!$D$27,5)</f>
        <v>0</v>
      </c>
      <c r="C478" s="125">
        <f>ROUND(PAGE13!$H$27,5)</f>
        <v>0</v>
      </c>
    </row>
    <row r="479" spans="1:4">
      <c r="A479" s="131" t="e">
        <f>C1&amp;".E30.LN_AGR_PER.5TO6YRS.NEW_CR."</f>
        <v>#N/A</v>
      </c>
      <c r="B479" s="125">
        <f>ROUND(PAGE13!$D$29,5)</f>
        <v>0</v>
      </c>
      <c r="C479" s="125">
        <f>ROUND(PAGE13!$H$29,5)</f>
        <v>0</v>
      </c>
    </row>
    <row r="480" spans="1:4">
      <c r="A480" s="131" t="e">
        <f>C1&amp;".E30.LN_AGR_PER.6TO7YRS.NEW_CR."</f>
        <v>#N/A</v>
      </c>
      <c r="B480" s="125">
        <f>ROUND(PAGE13!$D$31,5)</f>
        <v>0</v>
      </c>
      <c r="C480" s="125">
        <f>ROUND(PAGE13!$H$31,5)</f>
        <v>0</v>
      </c>
    </row>
    <row r="481" spans="1:5">
      <c r="A481" s="131" t="e">
        <f>C1&amp;".E30.LN_AGR_PER.7TO8YRS.NEW_CR."</f>
        <v>#N/A</v>
      </c>
      <c r="B481" s="125">
        <f>ROUND(PAGE13!$D$33,5)</f>
        <v>0</v>
      </c>
      <c r="C481" s="125">
        <f>ROUND(PAGE13!$H$33,5)</f>
        <v>0</v>
      </c>
    </row>
    <row r="482" spans="1:5">
      <c r="A482" s="131" t="e">
        <f>C1&amp;".E30.LN_AGR_PER.8TO9YRS.NEW_CR."</f>
        <v>#N/A</v>
      </c>
      <c r="B482" s="125">
        <f>ROUND(PAGE13!$D$35,5)</f>
        <v>0</v>
      </c>
      <c r="C482" s="125">
        <f>ROUND(PAGE13!$H$35,5)</f>
        <v>0</v>
      </c>
    </row>
    <row r="483" spans="1:5">
      <c r="A483" s="131" t="e">
        <f>C1&amp;".E30.LN_AGR_PER.9TO10YRS.NEW_CR."</f>
        <v>#N/A</v>
      </c>
      <c r="B483" s="125">
        <f>ROUND(PAGE13!$D$37,5)</f>
        <v>0</v>
      </c>
      <c r="C483" s="125">
        <f>ROUND(PAGE13!$H$37,5)</f>
        <v>0</v>
      </c>
    </row>
    <row r="484" spans="1:5">
      <c r="A484" s="131" t="e">
        <f>C1&amp;".E30.LN_AGR_PER.10TO15YRS.NEW_CR."</f>
        <v>#N/A</v>
      </c>
      <c r="B484" s="125">
        <f>ROUND(PAGE13!$D$39,5)</f>
        <v>0</v>
      </c>
      <c r="C484" s="125">
        <f>ROUND(PAGE13!$H$39,5)</f>
        <v>0</v>
      </c>
    </row>
    <row r="485" spans="1:5">
      <c r="A485" s="131" t="e">
        <f>C1&amp;".E30.LN_AGR_PER.15TO20YRS.NEW_CR."</f>
        <v>#N/A</v>
      </c>
      <c r="B485" s="125">
        <f>ROUND(PAGE13!$D$41,5)</f>
        <v>0</v>
      </c>
      <c r="C485" s="125">
        <f>ROUND(PAGE13!$H$41,5)</f>
        <v>0</v>
      </c>
    </row>
    <row r="486" spans="1:5">
      <c r="A486" s="131" t="e">
        <f>C1&amp;".E30.LN_AGR_PER.20TO25YRS.NEW_CR."</f>
        <v>#N/A</v>
      </c>
      <c r="B486" s="125">
        <f>ROUND(PAGE13!$D$43,5)</f>
        <v>0</v>
      </c>
      <c r="C486" s="125">
        <f>ROUND(PAGE13!$H$43,5)</f>
        <v>0</v>
      </c>
    </row>
    <row r="487" spans="1:5">
      <c r="A487" s="131" t="e">
        <f>C1&amp;".E30.LN_AGR_PER.25TO30YRS.NEW_CR."</f>
        <v>#N/A</v>
      </c>
      <c r="B487" s="125">
        <f>ROUND(PAGE13!$D$45,5)</f>
        <v>0</v>
      </c>
      <c r="C487" s="125">
        <f>ROUND(PAGE13!$H$45,5)</f>
        <v>0</v>
      </c>
    </row>
    <row r="488" spans="1:5">
      <c r="A488" s="131" t="e">
        <f>C1&amp;".E30.LN_AGR_PER.OVR30YRS.NEW_CR."</f>
        <v>#N/A</v>
      </c>
      <c r="B488" s="125">
        <f>ROUND(PAGE13!$D$47,5)</f>
        <v>0</v>
      </c>
      <c r="C488" s="125">
        <f>ROUND(PAGE13!$H$47,5)</f>
        <v>0</v>
      </c>
    </row>
    <row r="489" spans="1:5">
      <c r="A489" s="131" t="e">
        <f>C1&amp;".E30.LN_AGR_PER.UNSPEC.NEW_CR."</f>
        <v>#N/A</v>
      </c>
      <c r="B489" s="125">
        <f>ROUND(PAGE13!$D$53,5)</f>
        <v>0</v>
      </c>
      <c r="C489" s="125">
        <f>ROUND(PAGE13!$H$53,5)</f>
        <v>0</v>
      </c>
    </row>
    <row r="490" spans="1:5">
      <c r="A490" s="133" t="s">
        <v>439</v>
      </c>
      <c r="B490" s="125" t="s">
        <v>437</v>
      </c>
      <c r="C490" s="125" t="s">
        <v>415</v>
      </c>
      <c r="D490" s="125" t="s">
        <v>416</v>
      </c>
    </row>
    <row r="491" spans="1:5">
      <c r="A491" s="131" t="e">
        <f>C1&amp;".E30.LN_AGR_PER.MAX_PER.NEW_CR."</f>
        <v>#N/A</v>
      </c>
      <c r="B491" s="125">
        <f>ROUND(PAGE13!$A$51,5)</f>
        <v>0</v>
      </c>
      <c r="C491" s="125">
        <f>ROUND(PAGE13!$D$51,5)</f>
        <v>0</v>
      </c>
      <c r="D491" s="125">
        <f>ROUND(PAGE13!$H$51,5)</f>
        <v>0</v>
      </c>
    </row>
    <row r="492" spans="1:5">
      <c r="A492" s="133" t="s">
        <v>440</v>
      </c>
      <c r="B492" s="125" t="s">
        <v>415</v>
      </c>
      <c r="C492" s="125" t="s">
        <v>416</v>
      </c>
    </row>
    <row r="493" spans="1:5">
      <c r="A493" s="131" t="e">
        <f>C1&amp;".E30.DEP_INT.0_1_PERCT.."</f>
        <v>#N/A</v>
      </c>
      <c r="B493" s="125">
        <f>ROUND(PAGE14!$E$17,5)</f>
        <v>0</v>
      </c>
      <c r="C493" s="125">
        <f>ROUND(PAGE14!$H$17,5)</f>
        <v>0</v>
      </c>
      <c r="D493" s="127"/>
      <c r="E493" s="127"/>
    </row>
    <row r="494" spans="1:5">
      <c r="A494" s="131" t="e">
        <f>C1&amp;".E30.DEP_INT.1.1_2_PERCT.."</f>
        <v>#N/A</v>
      </c>
      <c r="B494" s="125">
        <f>ROUND(PAGE14!$E$19,5)</f>
        <v>0</v>
      </c>
      <c r="C494" s="125">
        <f>ROUND(PAGE14!$H$19,5)</f>
        <v>0</v>
      </c>
    </row>
    <row r="495" spans="1:5">
      <c r="A495" s="131" t="e">
        <f>C1&amp;".E30.DEP_INT.2.1_3_PERCT.."</f>
        <v>#N/A</v>
      </c>
      <c r="B495" s="125">
        <f>ROUND(PAGE14!$E$21,5)</f>
        <v>0</v>
      </c>
      <c r="C495" s="125">
        <f>ROUND(PAGE14!$H$21,5)</f>
        <v>0</v>
      </c>
    </row>
    <row r="496" spans="1:5">
      <c r="A496" s="131" t="e">
        <f>C1&amp;".E30.DEP_INT.3.1_4_PERCT.."</f>
        <v>#N/A</v>
      </c>
      <c r="B496" s="125">
        <f>ROUND(PAGE14!$E$23,5)</f>
        <v>0</v>
      </c>
      <c r="C496" s="125">
        <f>ROUND(PAGE14!$H$23,5)</f>
        <v>0</v>
      </c>
    </row>
    <row r="497" spans="1:3">
      <c r="A497" s="131" t="e">
        <f>C1&amp;".E30.DEP_INT.4.1_5_PERCT.."</f>
        <v>#N/A</v>
      </c>
      <c r="B497" s="125">
        <f>ROUND(PAGE14!$E$25,5)</f>
        <v>0</v>
      </c>
      <c r="C497" s="125">
        <f>ROUND(PAGE14!$H$25,5)</f>
        <v>0</v>
      </c>
    </row>
    <row r="498" spans="1:3">
      <c r="A498" s="131" t="e">
        <f>C1&amp;".E30.DEP_INT.5.1_6_PERCT.."</f>
        <v>#N/A</v>
      </c>
      <c r="B498" s="125">
        <f>ROUND(PAGE14!$E$27,5)</f>
        <v>0</v>
      </c>
      <c r="C498" s="125">
        <f>ROUND(PAGE14!$H$27,5)</f>
        <v>0</v>
      </c>
    </row>
    <row r="499" spans="1:3">
      <c r="A499" s="131" t="e">
        <f>C1&amp;".E30.DEP_INT.6.1_7_PERCT.."</f>
        <v>#N/A</v>
      </c>
      <c r="B499" s="125">
        <f>ROUND(PAGE14!$E$29,5)</f>
        <v>0</v>
      </c>
      <c r="C499" s="125">
        <f>ROUND(PAGE14!$H$29,5)</f>
        <v>0</v>
      </c>
    </row>
    <row r="500" spans="1:3">
      <c r="A500" s="131" t="e">
        <f>C1&amp;".E30.DEP_INT.7.1_8_PERCT.."</f>
        <v>#N/A</v>
      </c>
      <c r="B500" s="125">
        <f>ROUND(PAGE14!$E$31,5)</f>
        <v>0</v>
      </c>
      <c r="C500" s="125">
        <f>ROUND(PAGE14!$H$31,5)</f>
        <v>0</v>
      </c>
    </row>
    <row r="501" spans="1:3">
      <c r="A501" s="131" t="e">
        <f>C1&amp;".E30.DEP_INT.8.1_9_PERCT.."</f>
        <v>#N/A</v>
      </c>
      <c r="B501" s="125">
        <f>ROUND(PAGE14!$E$33,5)</f>
        <v>0</v>
      </c>
      <c r="C501" s="125">
        <f>ROUND(PAGE14!$H$33,5)</f>
        <v>0</v>
      </c>
    </row>
    <row r="502" spans="1:3">
      <c r="A502" s="131" t="e">
        <f>C1&amp;".E30.DEP_INT.9.1_10_PERCT.."</f>
        <v>#N/A</v>
      </c>
      <c r="B502" s="125">
        <f>ROUND(PAGE14!$E$35,5)</f>
        <v>0</v>
      </c>
      <c r="C502" s="125">
        <f>ROUND(PAGE14!$H$35,5)</f>
        <v>0</v>
      </c>
    </row>
    <row r="503" spans="1:3">
      <c r="A503" s="131" t="e">
        <f>C1&amp;".E30.DEP_INT.10.1_11_PERCT.."</f>
        <v>#N/A</v>
      </c>
      <c r="B503" s="125">
        <f>ROUND(PAGE14!$E$37,5)</f>
        <v>0</v>
      </c>
      <c r="C503" s="125">
        <f>ROUND(PAGE14!$H$37,5)</f>
        <v>0</v>
      </c>
    </row>
    <row r="504" spans="1:3">
      <c r="A504" s="131" t="e">
        <f>C1&amp;".E30.DEP_INT.11.1_12_PERCT.."</f>
        <v>#N/A</v>
      </c>
      <c r="B504" s="125">
        <f>ROUND(PAGE14!$E$39,5)</f>
        <v>0</v>
      </c>
      <c r="C504" s="125">
        <f>ROUND(PAGE14!$H$39,5)</f>
        <v>0</v>
      </c>
    </row>
    <row r="505" spans="1:3">
      <c r="A505" s="131" t="e">
        <f>C1&amp;".E30.DEP_INT.12.1_13_PERCT.."</f>
        <v>#N/A</v>
      </c>
      <c r="B505" s="125">
        <f>ROUND(PAGE14!$E$41,5)</f>
        <v>0</v>
      </c>
      <c r="C505" s="125">
        <f>ROUND(PAGE14!$H$41,5)</f>
        <v>0</v>
      </c>
    </row>
    <row r="506" spans="1:3">
      <c r="A506" s="131" t="e">
        <f>C1&amp;".E30.DEP_INT.13.1_14_PERCT.."</f>
        <v>#N/A</v>
      </c>
      <c r="B506" s="125">
        <f>ROUND(PAGE14!$E$43,5)</f>
        <v>0</v>
      </c>
      <c r="C506" s="125">
        <f>ROUND(PAGE14!$H$43,5)</f>
        <v>0</v>
      </c>
    </row>
    <row r="507" spans="1:3">
      <c r="A507" s="131" t="e">
        <f>C1&amp;".E30.DEP_INT.14.1_15_PERCT.."</f>
        <v>#N/A</v>
      </c>
      <c r="B507" s="125">
        <f>ROUND(PAGE14!$E$45,5)</f>
        <v>0</v>
      </c>
      <c r="C507" s="125">
        <f>ROUND(PAGE14!$H$45,5)</f>
        <v>0</v>
      </c>
    </row>
    <row r="508" spans="1:3">
      <c r="A508" s="131" t="e">
        <f>C1&amp;".E30.FOR_DEP_INT.0_1_PERCT.."</f>
        <v>#N/A</v>
      </c>
      <c r="B508" s="125">
        <f>ROUND(PAGE15!$D$19,5)</f>
        <v>0</v>
      </c>
      <c r="C508" s="125">
        <f>ROUND(PAGE15!$H$19,5)</f>
        <v>0</v>
      </c>
    </row>
    <row r="509" spans="1:3">
      <c r="A509" s="131" t="e">
        <f>C1&amp;".E30.FOR_DEP_INT.1.1_2_PERCT.."</f>
        <v>#N/A</v>
      </c>
      <c r="B509" s="125">
        <f>ROUND(PAGE15!$D$21,5)</f>
        <v>0</v>
      </c>
      <c r="C509" s="125">
        <f>ROUND(PAGE15!$H$21,5)</f>
        <v>0</v>
      </c>
    </row>
    <row r="510" spans="1:3">
      <c r="A510" s="131" t="e">
        <f>C1&amp;".E30.FOR_DEP_INT.2.1_3_PERCT.."</f>
        <v>#N/A</v>
      </c>
      <c r="B510" s="125">
        <f>ROUND(PAGE15!$D$23,5)</f>
        <v>0</v>
      </c>
      <c r="C510" s="125">
        <f>ROUND(PAGE15!$H$23,5)</f>
        <v>0</v>
      </c>
    </row>
    <row r="511" spans="1:3">
      <c r="A511" s="131" t="e">
        <f>C1&amp;".E30.FOR_DEP_INT.3.1_4_PERCT.."</f>
        <v>#N/A</v>
      </c>
      <c r="B511" s="125">
        <f>ROUND(PAGE15!$D$25,5)</f>
        <v>0</v>
      </c>
      <c r="C511" s="125">
        <f>ROUND(PAGE15!$H$25,5)</f>
        <v>0</v>
      </c>
    </row>
    <row r="512" spans="1:3">
      <c r="A512" s="131" t="e">
        <f>C1&amp;".E30.FOR_DEP_INT.4.1_5_PERCT.."</f>
        <v>#N/A</v>
      </c>
      <c r="B512" s="125">
        <f>ROUND(PAGE15!$D$27,5)</f>
        <v>0</v>
      </c>
      <c r="C512" s="125">
        <f>ROUND(PAGE15!$H$27,5)</f>
        <v>0</v>
      </c>
    </row>
    <row r="513" spans="1:4">
      <c r="A513" s="131" t="e">
        <f>C1&amp;".E30.FOR_DEP_INT.5.1_6_PERCT.."</f>
        <v>#N/A</v>
      </c>
      <c r="B513" s="125">
        <f>ROUND(PAGE15!$D$29,5)</f>
        <v>0</v>
      </c>
      <c r="C513" s="125">
        <f>ROUND(PAGE15!$H$29,5)</f>
        <v>0</v>
      </c>
    </row>
    <row r="514" spans="1:4">
      <c r="A514" s="131" t="e">
        <f>C1&amp;".E30.FOR_DEP_INT.6.1_7_PERCT.."</f>
        <v>#N/A</v>
      </c>
      <c r="B514" s="125">
        <f>ROUND(PAGE15!$D$31,5)</f>
        <v>0</v>
      </c>
      <c r="C514" s="125">
        <f>ROUND(PAGE15!$H$31,5)</f>
        <v>0</v>
      </c>
    </row>
    <row r="515" spans="1:4">
      <c r="A515" s="131" t="e">
        <f>C1&amp;".E30.FOR_DEP_INT.7.1_8_PERCT.."</f>
        <v>#N/A</v>
      </c>
      <c r="B515" s="125">
        <f>ROUND(PAGE15!$D$33,5)</f>
        <v>0</v>
      </c>
      <c r="C515" s="125">
        <f>ROUND(PAGE15!$H$33,5)</f>
        <v>0</v>
      </c>
    </row>
    <row r="516" spans="1:4">
      <c r="A516" s="131" t="e">
        <f>C1&amp;".E30.FOR_DEP_INT.8.1_9_PERCT.."</f>
        <v>#N/A</v>
      </c>
      <c r="B516" s="125">
        <f>ROUND(PAGE15!$D$35,5)</f>
        <v>0</v>
      </c>
      <c r="C516" s="125">
        <f>ROUND(PAGE15!$H$35,5)</f>
        <v>0</v>
      </c>
    </row>
    <row r="517" spans="1:4">
      <c r="A517" s="131" t="e">
        <f>C1&amp;".E30.FOR_DEP_INT.9.1_10_PERCT.."</f>
        <v>#N/A</v>
      </c>
      <c r="B517" s="125">
        <f>ROUND(PAGE15!$D$37,5)</f>
        <v>0</v>
      </c>
      <c r="C517" s="125">
        <f>ROUND(PAGE15!$H$37,5)</f>
        <v>0</v>
      </c>
    </row>
    <row r="518" spans="1:4">
      <c r="A518" s="131" t="e">
        <f>C1&amp;".E30.FOR_DEP_INT.10.1_11_PERCT.."</f>
        <v>#N/A</v>
      </c>
      <c r="B518" s="125">
        <f>ROUND(PAGE15!$D$39,5)</f>
        <v>0</v>
      </c>
      <c r="C518" s="125">
        <f>ROUND(PAGE15!$H$39,5)</f>
        <v>0</v>
      </c>
    </row>
    <row r="519" spans="1:4">
      <c r="A519" s="131" t="e">
        <f>C1&amp;".E30.FOR_DEP_INT.11.1_12_PERCT.."</f>
        <v>#N/A</v>
      </c>
      <c r="B519" s="125">
        <f>ROUND(PAGE15!$D$41,5)</f>
        <v>0</v>
      </c>
      <c r="C519" s="125">
        <f>ROUND(PAGE15!$H$41,5)</f>
        <v>0</v>
      </c>
    </row>
    <row r="520" spans="1:4">
      <c r="A520" s="131" t="e">
        <f>C1&amp;".E30.FOR_DEP_INT.12.1_13_PERCT.."</f>
        <v>#N/A</v>
      </c>
      <c r="B520" s="125">
        <f>ROUND(PAGE15!$D$43,5)</f>
        <v>0</v>
      </c>
      <c r="C520" s="125">
        <f>ROUND(PAGE15!$H$43,5)</f>
        <v>0</v>
      </c>
    </row>
    <row r="521" spans="1:4">
      <c r="A521" s="131" t="e">
        <f>C1&amp;".E30.FOR_DEP_INT.13.1_14_PERCT.."</f>
        <v>#N/A</v>
      </c>
      <c r="B521" s="125">
        <f>ROUND(PAGE15!$D$45,5)</f>
        <v>0</v>
      </c>
      <c r="C521" s="125">
        <f>ROUND(PAGE15!$H$45,5)</f>
        <v>0</v>
      </c>
    </row>
    <row r="522" spans="1:4">
      <c r="A522" s="131" t="e">
        <f>C1&amp;".E30.FOR_DEP_INT.14.1_15_PERCT.."</f>
        <v>#N/A</v>
      </c>
      <c r="B522" s="125">
        <f>ROUND(PAGE15!$D$47,5)</f>
        <v>0</v>
      </c>
      <c r="C522" s="125">
        <f>ROUND(PAGE15!$H$47,5)</f>
        <v>0</v>
      </c>
    </row>
    <row r="523" spans="1:4">
      <c r="A523" s="136" t="s">
        <v>441</v>
      </c>
      <c r="B523" s="125" t="s">
        <v>437</v>
      </c>
      <c r="C523" s="125" t="s">
        <v>415</v>
      </c>
      <c r="D523" s="125" t="s">
        <v>416</v>
      </c>
    </row>
    <row r="524" spans="1:4">
      <c r="A524" s="131" t="e">
        <f>C1&amp;".E30.DEP_INT.MAX_RATE.."</f>
        <v>#N/A</v>
      </c>
      <c r="B524" s="125">
        <f>ROUND(PAGE14!$A$49,5)</f>
        <v>0</v>
      </c>
      <c r="C524" s="125">
        <f>ROUND(PAGE14!$E$49,5)</f>
        <v>0</v>
      </c>
      <c r="D524" s="125">
        <f>ROUND(PAGE14!$H$49,5)</f>
        <v>0</v>
      </c>
    </row>
    <row r="525" spans="1:4">
      <c r="A525" s="131" t="e">
        <f>C1&amp;".E30.FOR_DEP_INT.MAX_RATE.."</f>
        <v>#N/A</v>
      </c>
      <c r="B525" s="125">
        <f>ROUND(PAGE15!$A$51,5)</f>
        <v>0</v>
      </c>
      <c r="C525" s="125">
        <f>ROUND(PAGE15!$D$51,5)</f>
        <v>0</v>
      </c>
      <c r="D525" s="125">
        <f>ROUND(PAGE15!$H$51,5)</f>
        <v>0</v>
      </c>
    </row>
    <row r="526" spans="1:4">
      <c r="A526" s="136" t="s">
        <v>442</v>
      </c>
      <c r="B526" s="125" t="s">
        <v>416</v>
      </c>
      <c r="C526" s="125"/>
    </row>
    <row r="527" spans="1:4">
      <c r="A527" s="131" t="e">
        <f>C1&amp;".E30.TR_FNDS.DMN_DEP.."</f>
        <v>#N/A</v>
      </c>
      <c r="B527" s="125">
        <f>ROUND(PAGE16!$I$15,5)</f>
        <v>0</v>
      </c>
      <c r="C527" s="125"/>
    </row>
    <row r="528" spans="1:4">
      <c r="A528" s="131" t="e">
        <f>C1&amp;".E30.TR_FNDS.SAV_DEP.."</f>
        <v>#N/A</v>
      </c>
      <c r="B528" s="125">
        <f>ROUND(PAGE16!$I$17,5)</f>
        <v>0</v>
      </c>
      <c r="C528" s="125"/>
    </row>
    <row r="529" spans="1:5">
      <c r="A529" s="131" t="e">
        <f>C1&amp;".E30.TR_FNDS.FXD_DEP_CBNKS.."</f>
        <v>#N/A</v>
      </c>
      <c r="B529" s="125">
        <f>ROUND(PAGE16!$I$19,5)</f>
        <v>0</v>
      </c>
      <c r="C529" s="125"/>
    </row>
    <row r="530" spans="1:5">
      <c r="A530" s="131" t="e">
        <f>C1&amp;".E30.TR_FNDS.FXD_DEP_NFI.."</f>
        <v>#N/A</v>
      </c>
      <c r="B530" s="125">
        <f>ROUND(PAGE16!$I$21,5)</f>
        <v>0</v>
      </c>
      <c r="C530" s="125"/>
    </row>
    <row r="531" spans="1:5">
      <c r="A531" s="131" t="e">
        <f>C1&amp;".E30.TR_FNDS.GVT_SEC_LOCAL.."</f>
        <v>#N/A</v>
      </c>
      <c r="B531" s="125">
        <f>ROUND(PAGE16!$I$23,5)</f>
        <v>0</v>
      </c>
      <c r="C531" s="125"/>
      <c r="E531" s="137"/>
    </row>
    <row r="532" spans="1:5">
      <c r="A532" s="131" t="e">
        <f>C1&amp;".E30.TR_FNDS.GVT_SEC_FOR.."</f>
        <v>#N/A</v>
      </c>
      <c r="B532" s="125">
        <f>ROUND(PAGE16!$I$25,5)</f>
        <v>0</v>
      </c>
      <c r="C532" s="125"/>
    </row>
    <row r="533" spans="1:5">
      <c r="A533" s="131" t="e">
        <f>C1&amp;".E30.TR_FNDS.CO_EQTY_LOCAL.."</f>
        <v>#N/A</v>
      </c>
      <c r="B533" s="125">
        <f>ROUND(PAGE16!$I$27,5)</f>
        <v>0</v>
      </c>
      <c r="C533" s="125"/>
    </row>
    <row r="534" spans="1:5">
      <c r="A534" s="131" t="e">
        <f>C1&amp;".E30.TR_FNDS.CO_EQTY_FOR.."</f>
        <v>#N/A</v>
      </c>
      <c r="B534" s="125">
        <f>ROUND(PAGE16!$I$29,5)</f>
        <v>0</v>
      </c>
      <c r="C534" s="125"/>
    </row>
    <row r="535" spans="1:5">
      <c r="A535" s="131" t="e">
        <f>C1&amp;".E30.TR_FNDS.RE_MRTG_LNS_TTL.."</f>
        <v>#N/A</v>
      </c>
      <c r="B535" s="125">
        <f>ROUND(PAGE16!$I$31,5)</f>
        <v>0</v>
      </c>
      <c r="C535" s="125"/>
    </row>
    <row r="536" spans="1:5">
      <c r="A536" s="131" t="e">
        <f>C1&amp;".E30.TR_FNDS.RE_MRTG_LNS_RES.."</f>
        <v>#N/A</v>
      </c>
      <c r="B536" s="125">
        <f>ROUND(PAGE16!$I$33,5)</f>
        <v>0</v>
      </c>
      <c r="C536" s="125"/>
    </row>
    <row r="537" spans="1:5">
      <c r="A537" s="131" t="e">
        <f>C1&amp;".E30.TR_FNDS.RE_MRTG_LNS_NRES.."</f>
        <v>#N/A</v>
      </c>
      <c r="B537" s="125">
        <f>ROUND(PAGE16!$I$35,5)</f>
        <v>0</v>
      </c>
      <c r="C537" s="125"/>
    </row>
    <row r="538" spans="1:5">
      <c r="A538" s="131" t="e">
        <f>C1&amp;".E30.TR_FNDS.OTH_LNS.."</f>
        <v>#N/A</v>
      </c>
      <c r="B538" s="125">
        <f>ROUND(PAGE16!$I$37,5)</f>
        <v>0</v>
      </c>
      <c r="C538" s="125"/>
    </row>
    <row r="539" spans="1:5">
      <c r="A539" s="131" t="e">
        <f>C1&amp;".E30.TR_FNDS.RE.."</f>
        <v>#N/A</v>
      </c>
      <c r="B539" s="125">
        <f>ROUND(PAGE16!$I$39,5)</f>
        <v>0</v>
      </c>
      <c r="C539" s="125"/>
    </row>
    <row r="540" spans="1:5">
      <c r="A540" s="131" t="e">
        <f>C1&amp;".E30.TR_FNDS.OTH_FXD_ASST.."</f>
        <v>#N/A</v>
      </c>
      <c r="B540" s="125">
        <f>ROUND(PAGE16!$I$41,5)</f>
        <v>0</v>
      </c>
      <c r="C540" s="125"/>
    </row>
    <row r="541" spans="1:5">
      <c r="A541" s="131" t="e">
        <f>C1&amp;".E30.TR_FNDS.OTH_SPEC.."</f>
        <v>#N/A</v>
      </c>
      <c r="B541" s="125">
        <f>ROUND(PAGE16!$I$43,5)</f>
        <v>0</v>
      </c>
      <c r="C541" s="125"/>
    </row>
    <row r="542" spans="1:5">
      <c r="A542" s="131" t="e">
        <f>C1&amp;".E30."&amp;T(PAGE16!$B$45)&amp;".."</f>
        <v>#N/A</v>
      </c>
      <c r="B542" s="125">
        <f>ROUND(PAGE16!$I$45,5)</f>
        <v>0</v>
      </c>
      <c r="C542" s="125"/>
    </row>
    <row r="543" spans="1:5">
      <c r="A543" s="131" t="e">
        <f>C1&amp;".E30."&amp;T(PAGE16!$B$47)&amp;".."</f>
        <v>#N/A</v>
      </c>
      <c r="B543" s="125">
        <f>ROUND(PAGE16!$I$47,5)</f>
        <v>0</v>
      </c>
      <c r="C543" s="125"/>
    </row>
    <row r="544" spans="1:5">
      <c r="A544" s="131" t="e">
        <f>C1&amp;".E30."&amp;T(PAGE16!$B$49)&amp;".."</f>
        <v>#N/A</v>
      </c>
      <c r="B544" s="125">
        <f>ROUND(PAGE16!$I$49,5)</f>
        <v>0</v>
      </c>
      <c r="C544" s="125"/>
    </row>
    <row r="545" spans="1:3">
      <c r="A545" s="131" t="e">
        <f>C1&amp;".E30."&amp;T(PAGE16!$B$51)&amp;".."</f>
        <v>#N/A</v>
      </c>
      <c r="B545" s="125">
        <f>ROUND(PAGE16!$I$51,5)</f>
        <v>0</v>
      </c>
      <c r="C545" s="125"/>
    </row>
    <row r="546" spans="1:3">
      <c r="A546" s="131" t="e">
        <f>C1&amp;".E30."&amp;T(PAGE16!$B$53)&amp;".."</f>
        <v>#N/A</v>
      </c>
      <c r="B546" s="125">
        <f>ROUND(PAGE16!$I$53,5)</f>
        <v>0</v>
      </c>
      <c r="C546" s="125"/>
    </row>
    <row r="547" spans="1:3">
      <c r="A547" s="131" t="e">
        <f>C1&amp;".E30."&amp;T(PAGE16!$B$55)&amp;".."</f>
        <v>#N/A</v>
      </c>
      <c r="B547" s="125">
        <f>ROUND(PAGE16!$I$55,5)</f>
        <v>0</v>
      </c>
      <c r="C547" s="125"/>
    </row>
    <row r="548" spans="1:3">
      <c r="A548" s="131" t="e">
        <f>C1&amp;".E30."&amp;T(PAGE16!$B$57)&amp;".."</f>
        <v>#N/A</v>
      </c>
      <c r="B548" s="125">
        <f>ROUND(PAGE16!$I$57,5)</f>
        <v>0</v>
      </c>
      <c r="C548" s="125"/>
    </row>
  </sheetData>
  <sheetProtection algorithmName="SHA-512" hashValue="LpuZ2qh4Uin0Ftx3N4W0OAavGsFxCaI0hqWeWRu/mD37dhcsOc2Dnocu3jDDyv9oRQF5C/7eschAmlRSWGYKsA==" saltValue="uLds8XzMUFbpMXklDD8nWw==" spinCount="100000" sheet="1" selectLockedCells="1"/>
  <dataValidations count="1">
    <dataValidation allowBlank="1" showInputMessage="1" showErrorMessage="1" error="DO NOT TYPE UPDATED VIA COVER PG" prompt="DO NOT TYPE UPDATED VIA COVER PG" sqref="C1:C2 A2" xr:uid="{00000000-0002-0000-0200-000000000000}"/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581"/>
  <sheetViews>
    <sheetView topLeftCell="A31" zoomScaleNormal="100" workbookViewId="0">
      <selection activeCell="A31" sqref="A31"/>
    </sheetView>
  </sheetViews>
  <sheetFormatPr defaultColWidth="9.42578125" defaultRowHeight="12.75"/>
  <cols>
    <col min="1" max="1" width="45.5703125" style="90" bestFit="1" customWidth="1"/>
    <col min="2" max="2" width="7" style="89" customWidth="1"/>
    <col min="3" max="3" width="8.42578125" style="89" customWidth="1"/>
    <col min="4" max="16384" width="9.42578125" style="14"/>
  </cols>
  <sheetData>
    <row r="1" spans="1:4">
      <c r="A1" s="90" t="s">
        <v>412</v>
      </c>
      <c r="B1" s="14" t="s">
        <v>413</v>
      </c>
      <c r="C1" s="89" t="e">
        <f>VLOOKUP('COVER PAGE'!C7,Controls!$B$4:$C$27,2,FALSE)</f>
        <v>#N/A</v>
      </c>
      <c r="D1" s="89" t="str">
        <f>PAGE1!$J$11</f>
        <v>3n</v>
      </c>
    </row>
    <row r="2" spans="1:4">
      <c r="A2" s="89">
        <f>VLOOKUP('COVER PAGE'!F9,Controls!$D$4:$E$7,2,FALSE)</f>
        <v>9</v>
      </c>
    </row>
    <row r="3" spans="1:4">
      <c r="A3" s="91">
        <f>'COVER PAGE'!$F$10</f>
        <v>45292</v>
      </c>
    </row>
    <row r="4" spans="1:4">
      <c r="A4" s="92" t="s">
        <v>414</v>
      </c>
      <c r="B4" s="89" t="s">
        <v>415</v>
      </c>
      <c r="C4" s="89" t="s">
        <v>416</v>
      </c>
    </row>
    <row r="5" spans="1:4">
      <c r="A5" s="93" t="e">
        <f>C1&amp;".E30.REM.PBSEC.APPR.LT300"</f>
        <v>#N/A</v>
      </c>
      <c r="B5" s="14">
        <f>ROUND(PAGE1!$G$27,5)</f>
        <v>0</v>
      </c>
      <c r="C5" s="14">
        <f>ROUND(PAGE1!$I$27,5)</f>
        <v>0</v>
      </c>
    </row>
    <row r="6" spans="1:4">
      <c r="A6" s="93" t="e">
        <f>C1&amp;".E30.REM.PBSEC.DISB.LT300"</f>
        <v>#N/A</v>
      </c>
      <c r="B6" s="14">
        <f>ROUND(PAGE1!$K$27,5)</f>
        <v>0</v>
      </c>
      <c r="C6" s="14">
        <f>ROUND(PAGE1!$M$27,5)</f>
        <v>0</v>
      </c>
    </row>
    <row r="7" spans="1:4">
      <c r="A7" s="93" t="e">
        <f>C1&amp;".E30.REM.PBSEC.OS.LT300"</f>
        <v>#N/A</v>
      </c>
      <c r="B7" s="14">
        <f>ROUND(PAGE1!$O$27,5)</f>
        <v>0</v>
      </c>
      <c r="C7" s="14">
        <f>ROUND(PAGE1!$Q$27,5)</f>
        <v>0</v>
      </c>
    </row>
    <row r="8" spans="1:4">
      <c r="A8" s="93" t="e">
        <f>C1&amp;".E30.REM.PBSEC.APPR.300TO450"</f>
        <v>#N/A</v>
      </c>
      <c r="B8" s="14">
        <f>ROUND(PAGE1!$G$28,5)</f>
        <v>0</v>
      </c>
      <c r="C8" s="14">
        <f>ROUND(PAGE1!$I$28,5)</f>
        <v>0</v>
      </c>
    </row>
    <row r="9" spans="1:4">
      <c r="A9" s="93" t="e">
        <f>C1&amp;".E30.REM.PBSEC.DISB.300TO450"</f>
        <v>#N/A</v>
      </c>
      <c r="B9" s="14">
        <f>ROUND(PAGE1!$K$28,5)</f>
        <v>0</v>
      </c>
      <c r="C9" s="14">
        <f>ROUND(PAGE1!$M$28,5)</f>
        <v>0</v>
      </c>
    </row>
    <row r="10" spans="1:4">
      <c r="A10" s="93" t="e">
        <f>C1&amp;".E30.REM.PBSEC.OS.300TO450"</f>
        <v>#N/A</v>
      </c>
      <c r="B10" s="14">
        <f>ROUND(PAGE1!$O$28,5)</f>
        <v>0</v>
      </c>
      <c r="C10" s="14">
        <f>ROUND(PAGE1!$Q$28,5)</f>
        <v>0</v>
      </c>
    </row>
    <row r="11" spans="1:4">
      <c r="A11" s="93" t="e">
        <f>C1&amp;".E30.REM.PBSEC.APPR.OVR450"</f>
        <v>#N/A</v>
      </c>
      <c r="B11" s="14">
        <f>ROUND(PAGE1!$G$29,5)</f>
        <v>0</v>
      </c>
      <c r="C11" s="14">
        <f>ROUND(PAGE1!$I$29,5)</f>
        <v>0</v>
      </c>
    </row>
    <row r="12" spans="1:4">
      <c r="A12" s="93" t="e">
        <f>C1&amp;".E30.REM.PBSEC.DISB.OVR450"</f>
        <v>#N/A</v>
      </c>
      <c r="B12" s="14">
        <f>ROUND(PAGE1!$K$29,5)</f>
        <v>0</v>
      </c>
      <c r="C12" s="14">
        <f>ROUND(PAGE1!$M$29,5)</f>
        <v>0</v>
      </c>
    </row>
    <row r="13" spans="1:4">
      <c r="A13" s="93" t="e">
        <f>C1&amp;".E30.REM.PBSEC.OS.OVR450"</f>
        <v>#N/A</v>
      </c>
      <c r="B13" s="14">
        <f>ROUND(PAGE1!$O$29,5)</f>
        <v>0</v>
      </c>
      <c r="C13" s="14">
        <f>ROUND(PAGE1!$Q$29,5)</f>
        <v>0</v>
      </c>
    </row>
    <row r="14" spans="1:4">
      <c r="A14" s="94" t="e">
        <f>C1&amp;".E30.REM.PBSEC.APPR.TTL"</f>
        <v>#N/A</v>
      </c>
      <c r="B14" s="14">
        <f>ROUND(PAGE1!$G$26,5)</f>
        <v>0</v>
      </c>
      <c r="C14" s="14">
        <f>ROUND(PAGE1!$I$26,5)</f>
        <v>0</v>
      </c>
    </row>
    <row r="15" spans="1:4">
      <c r="A15" s="94" t="e">
        <f>C1&amp;".E30.REM.PBSEC.DISB.TTL"</f>
        <v>#N/A</v>
      </c>
      <c r="B15" s="14">
        <f>ROUND(PAGE1!$K$26,5)</f>
        <v>0</v>
      </c>
      <c r="C15" s="14">
        <f>ROUND(PAGE1!$M$26,5)</f>
        <v>0</v>
      </c>
    </row>
    <row r="16" spans="1:4">
      <c r="A16" s="94" t="e">
        <f>C1&amp;".E30.REM.PBSEC.OS.TTL"</f>
        <v>#N/A</v>
      </c>
      <c r="B16" s="14">
        <f>ROUND(PAGE1!$O$26,5)</f>
        <v>0</v>
      </c>
      <c r="C16" s="14">
        <f>ROUND(PAGE1!$Q$26,5)</f>
        <v>0</v>
      </c>
    </row>
    <row r="17" spans="1:3">
      <c r="A17" s="93" t="e">
        <f>C1&amp;".E30.REM.PVFIN.APPR.LT300"</f>
        <v>#N/A</v>
      </c>
      <c r="B17" s="14">
        <f>ROUND(PAGE1!$G$33,5)</f>
        <v>0</v>
      </c>
      <c r="C17" s="14">
        <f>ROUND(PAGE1!$I$33,5)</f>
        <v>0</v>
      </c>
    </row>
    <row r="18" spans="1:3">
      <c r="A18" s="93" t="e">
        <f>C1&amp;".E30.REM.PVFIN.DISB.LT300"</f>
        <v>#N/A</v>
      </c>
      <c r="B18" s="14">
        <f>ROUND(PAGE1!$K$33,5)</f>
        <v>0</v>
      </c>
      <c r="C18" s="14">
        <f>ROUND(PAGE1!$M$33,5)</f>
        <v>0</v>
      </c>
    </row>
    <row r="19" spans="1:3">
      <c r="A19" s="93" t="e">
        <f>C1&amp;".E30.REM.PVFIN.OS.LT300"</f>
        <v>#N/A</v>
      </c>
      <c r="B19" s="14">
        <f>ROUND(PAGE1!$O$33,5)</f>
        <v>0</v>
      </c>
      <c r="C19" s="14">
        <f>ROUND(PAGE1!$Q$33,5)</f>
        <v>0</v>
      </c>
    </row>
    <row r="20" spans="1:3">
      <c r="A20" s="93" t="e">
        <f>C1&amp;".E30.REM.PVFIN.APPR.300TO450"</f>
        <v>#N/A</v>
      </c>
      <c r="B20" s="14">
        <f>ROUND(PAGE1!$G$34,5)</f>
        <v>0</v>
      </c>
      <c r="C20" s="14">
        <f>ROUND(PAGE1!$I$34,5)</f>
        <v>0</v>
      </c>
    </row>
    <row r="21" spans="1:3">
      <c r="A21" s="93" t="e">
        <f>C1&amp;".E30.REM.PVFIN.DISB.300TO450"</f>
        <v>#N/A</v>
      </c>
      <c r="B21" s="14">
        <f>ROUND(PAGE1!$K$34,5)</f>
        <v>0</v>
      </c>
      <c r="C21" s="14">
        <f>ROUND(PAGE1!$M$34,5)</f>
        <v>0</v>
      </c>
    </row>
    <row r="22" spans="1:3">
      <c r="A22" s="93" t="e">
        <f>C1&amp;".E30.REM.PVFIN.OS.300TO450"</f>
        <v>#N/A</v>
      </c>
      <c r="B22" s="14">
        <f>ROUND(PAGE1!$O$34,5)</f>
        <v>0</v>
      </c>
      <c r="C22" s="14">
        <f>ROUND(PAGE1!$Q$34,5)</f>
        <v>0</v>
      </c>
    </row>
    <row r="23" spans="1:3">
      <c r="A23" s="93" t="e">
        <f>C1&amp;".E30.REM.PVFIN.APPR.OVR450"</f>
        <v>#N/A</v>
      </c>
      <c r="B23" s="14">
        <f>ROUND(PAGE1!$G$35,5)</f>
        <v>0</v>
      </c>
      <c r="C23" s="14">
        <f>ROUND(PAGE1!$I$35,5)</f>
        <v>0</v>
      </c>
    </row>
    <row r="24" spans="1:3">
      <c r="A24" s="93" t="e">
        <f>C1&amp;".E30.REM.PVFIN.DISB.OVR450"</f>
        <v>#N/A</v>
      </c>
      <c r="B24" s="14">
        <f>ROUND(PAGE1!$K$35,5)</f>
        <v>0</v>
      </c>
      <c r="C24" s="14">
        <f>ROUND(PAGE1!$M$35,5)</f>
        <v>0</v>
      </c>
    </row>
    <row r="25" spans="1:3">
      <c r="A25" s="93" t="e">
        <f>C1&amp;".E30.REM.PVFIN.OS.OVR450"</f>
        <v>#N/A</v>
      </c>
      <c r="B25" s="14">
        <f>ROUND(PAGE1!$O$35,5)</f>
        <v>0</v>
      </c>
      <c r="C25" s="14">
        <f>ROUND(PAGE1!$Q$35,5)</f>
        <v>0</v>
      </c>
    </row>
    <row r="26" spans="1:3">
      <c r="A26" s="94" t="e">
        <f>C1&amp;".E30.REM.PVFIN.APPR.TTL"</f>
        <v>#N/A</v>
      </c>
      <c r="B26" s="14">
        <f>ROUND(PAGE1!$G$32,5)</f>
        <v>0</v>
      </c>
      <c r="C26" s="14">
        <f>ROUND(PAGE1!$I$32,5)</f>
        <v>0</v>
      </c>
    </row>
    <row r="27" spans="1:3">
      <c r="A27" s="94" t="e">
        <f>C1&amp;".E30.REM.PVFIN.DISB.TTL"</f>
        <v>#N/A</v>
      </c>
      <c r="B27" s="14">
        <f>ROUND(PAGE1!$K$32,5)</f>
        <v>0</v>
      </c>
      <c r="C27" s="14">
        <f>ROUND(PAGE1!$M$32,5)</f>
        <v>0</v>
      </c>
    </row>
    <row r="28" spans="1:3">
      <c r="A28" s="94" t="e">
        <f>C1&amp;".E30.REM.PVFIN.OS.TTL"</f>
        <v>#N/A</v>
      </c>
      <c r="B28" s="14">
        <f>ROUND(PAGE1!$O$32,5)</f>
        <v>0</v>
      </c>
      <c r="C28" s="14">
        <f>ROUND(PAGE1!$Q$32,5)</f>
        <v>0</v>
      </c>
    </row>
    <row r="29" spans="1:3">
      <c r="A29" s="93" t="e">
        <f>C1&amp;".E30.REM.IBUS.APPR.LT300"</f>
        <v>#N/A</v>
      </c>
      <c r="B29" s="14">
        <f>ROUND(PAGE1!$G$39,5)</f>
        <v>0</v>
      </c>
      <c r="C29" s="14">
        <f>ROUND(PAGE1!$I$39,5)</f>
        <v>0</v>
      </c>
    </row>
    <row r="30" spans="1:3">
      <c r="A30" s="93" t="e">
        <f>C1&amp;".E30.REM.IBUS.DISB.LT300"</f>
        <v>#N/A</v>
      </c>
      <c r="B30" s="14">
        <f>ROUND(PAGE1!$K$39,5)</f>
        <v>0</v>
      </c>
      <c r="C30" s="14">
        <f>ROUND(PAGE1!$M$39,5)</f>
        <v>0</v>
      </c>
    </row>
    <row r="31" spans="1:3">
      <c r="A31" s="93" t="e">
        <f>C1&amp;".E30.REM.IBUS.OS.LT300"</f>
        <v>#N/A</v>
      </c>
      <c r="B31" s="14">
        <f>ROUND(PAGE1!$O$39,5)</f>
        <v>0</v>
      </c>
      <c r="C31" s="14">
        <f>ROUND(PAGE1!$Q$39,5)</f>
        <v>0</v>
      </c>
    </row>
    <row r="32" spans="1:3">
      <c r="A32" s="93" t="e">
        <f>C1&amp;".E30.REM.IBUS.APPR.300TO450"</f>
        <v>#N/A</v>
      </c>
      <c r="B32" s="14">
        <f>ROUND(PAGE1!$G$40,5)</f>
        <v>0</v>
      </c>
      <c r="C32" s="14">
        <f>ROUND(PAGE1!$I$40,5)</f>
        <v>0</v>
      </c>
    </row>
    <row r="33" spans="1:3">
      <c r="A33" s="93" t="e">
        <f>C1&amp;".E30.REM.IBUS.DISB.300TO450"</f>
        <v>#N/A</v>
      </c>
      <c r="B33" s="14">
        <f>ROUND(PAGE1!$K$40,5)</f>
        <v>0</v>
      </c>
      <c r="C33" s="14">
        <f>ROUND(PAGE1!$M$40,5)</f>
        <v>0</v>
      </c>
    </row>
    <row r="34" spans="1:3">
      <c r="A34" s="93" t="e">
        <f>C1&amp;".E30.REM.IBUS.OS.300TO450"</f>
        <v>#N/A</v>
      </c>
      <c r="B34" s="14">
        <f>ROUND(PAGE1!$O$40,5)</f>
        <v>0</v>
      </c>
      <c r="C34" s="14">
        <f>ROUND(PAGE1!$Q$40,5)</f>
        <v>0</v>
      </c>
    </row>
    <row r="35" spans="1:3">
      <c r="A35" s="93" t="e">
        <f>C1&amp;".E30.REM.IBUS.APPR.OVR450"</f>
        <v>#N/A</v>
      </c>
      <c r="B35" s="14">
        <f>ROUND(PAGE1!$G$41,5)</f>
        <v>0</v>
      </c>
      <c r="C35" s="14">
        <f>ROUND(PAGE1!$I$41,5)</f>
        <v>0</v>
      </c>
    </row>
    <row r="36" spans="1:3">
      <c r="A36" s="93" t="e">
        <f>C1&amp;".E30.REM.IBUS.DISB.OVR450"</f>
        <v>#N/A</v>
      </c>
      <c r="B36" s="14">
        <f>ROUND(PAGE1!$K$41,5)</f>
        <v>0</v>
      </c>
      <c r="C36" s="14">
        <f>ROUND(PAGE1!$M$41,5)</f>
        <v>0</v>
      </c>
    </row>
    <row r="37" spans="1:3">
      <c r="A37" s="93" t="e">
        <f>C1&amp;".E30.REM.IBUS.OS.OVR450"</f>
        <v>#N/A</v>
      </c>
      <c r="B37" s="14">
        <f>ROUND(PAGE1!$O$41,5)</f>
        <v>0</v>
      </c>
      <c r="C37" s="14">
        <f>ROUND(PAGE1!$Q$41,5)</f>
        <v>0</v>
      </c>
    </row>
    <row r="38" spans="1:3">
      <c r="A38" s="94" t="e">
        <f>C1&amp;".E30.REM.IBUS.APPR.TTL"</f>
        <v>#N/A</v>
      </c>
      <c r="B38" s="14">
        <f>ROUND(PAGE1!$G$38,5)</f>
        <v>0</v>
      </c>
      <c r="C38" s="14">
        <f>ROUND(PAGE1!$I$38,5)</f>
        <v>0</v>
      </c>
    </row>
    <row r="39" spans="1:3">
      <c r="A39" s="94" t="e">
        <f>C1&amp;".E30.REM.IBUS.DISB.TTL"</f>
        <v>#N/A</v>
      </c>
      <c r="B39" s="14">
        <f>ROUND(PAGE1!$K$38,5)</f>
        <v>0</v>
      </c>
      <c r="C39" s="14">
        <f>ROUND(PAGE1!$M$38,5)</f>
        <v>0</v>
      </c>
    </row>
    <row r="40" spans="1:3">
      <c r="A40" s="94" t="e">
        <f>C1&amp;".E30.REM.IBUS.OS.TTL"</f>
        <v>#N/A</v>
      </c>
      <c r="B40" s="14">
        <f>ROUND(PAGE1!$O$38,5)</f>
        <v>0</v>
      </c>
      <c r="C40" s="14">
        <f>ROUND(PAGE1!$Q$38,5)</f>
        <v>0</v>
      </c>
    </row>
    <row r="41" spans="1:3">
      <c r="A41" s="93" t="e">
        <f>C1&amp;".E30.REM.UIBUS.APPR.LT300"</f>
        <v>#N/A</v>
      </c>
      <c r="B41" s="14">
        <f>ROUND(PAGE1!$G$45,5)</f>
        <v>0</v>
      </c>
      <c r="C41" s="14">
        <f>ROUND(PAGE1!$I$45,5)</f>
        <v>0</v>
      </c>
    </row>
    <row r="42" spans="1:3">
      <c r="A42" s="93" t="e">
        <f>C1&amp;".E30.REM.UIBUS.DISB.LT300"</f>
        <v>#N/A</v>
      </c>
      <c r="B42" s="14">
        <f>ROUND(PAGE1!$K$45,5)</f>
        <v>0</v>
      </c>
      <c r="C42" s="14">
        <f>ROUND(PAGE1!$M$45,5)</f>
        <v>0</v>
      </c>
    </row>
    <row r="43" spans="1:3">
      <c r="A43" s="93" t="e">
        <f>C1&amp;".E30.REM.UIBUS.OS.LT300"</f>
        <v>#N/A</v>
      </c>
      <c r="B43" s="14">
        <f>ROUND(PAGE1!$O$45,5)</f>
        <v>0</v>
      </c>
      <c r="C43" s="14">
        <f>ROUND(PAGE1!$Q$45,5)</f>
        <v>0</v>
      </c>
    </row>
    <row r="44" spans="1:3">
      <c r="A44" s="93" t="e">
        <f>C1&amp;".E30.REM.UIBUS.APPR.300TO450"</f>
        <v>#N/A</v>
      </c>
      <c r="B44" s="14">
        <f>ROUND(PAGE1!$G$46,5)</f>
        <v>0</v>
      </c>
      <c r="C44" s="14">
        <f>ROUND(PAGE1!$I$46,5)</f>
        <v>0</v>
      </c>
    </row>
    <row r="45" spans="1:3">
      <c r="A45" s="93" t="e">
        <f>C1&amp;".E30.REM.UIBUS.DISB.300TO450"</f>
        <v>#N/A</v>
      </c>
      <c r="B45" s="14">
        <f>ROUND(PAGE1!$K$46,5)</f>
        <v>0</v>
      </c>
      <c r="C45" s="14">
        <f>ROUND(PAGE1!$M$46,5)</f>
        <v>0</v>
      </c>
    </row>
    <row r="46" spans="1:3">
      <c r="A46" s="93" t="e">
        <f>C1&amp;".E30.REM.UIBUS.OS.300TO450"</f>
        <v>#N/A</v>
      </c>
      <c r="B46" s="14">
        <f>ROUND(PAGE1!$O$46,5)</f>
        <v>0</v>
      </c>
      <c r="C46" s="14">
        <f>ROUND(PAGE1!$Q$46,5)</f>
        <v>0</v>
      </c>
    </row>
    <row r="47" spans="1:3">
      <c r="A47" s="93" t="e">
        <f>C1&amp;".E30.REM.UIBUS.APPR.OVR450"</f>
        <v>#N/A</v>
      </c>
      <c r="B47" s="14">
        <f>ROUND(PAGE1!$G$47,5)</f>
        <v>0</v>
      </c>
      <c r="C47" s="14">
        <f>ROUND(PAGE1!$I$47,5)</f>
        <v>0</v>
      </c>
    </row>
    <row r="48" spans="1:3">
      <c r="A48" s="93" t="e">
        <f>C1&amp;".E30.REM.UIBUS.DISB.OVR450"</f>
        <v>#N/A</v>
      </c>
      <c r="B48" s="14">
        <f>ROUND(PAGE1!$K$47,5)</f>
        <v>0</v>
      </c>
      <c r="C48" s="14">
        <f>ROUND(PAGE1!$M$47,5)</f>
        <v>0</v>
      </c>
    </row>
    <row r="49" spans="1:3">
      <c r="A49" s="93" t="e">
        <f>C1&amp;".E30.REM.UIBUS.OS.OVR450"</f>
        <v>#N/A</v>
      </c>
      <c r="B49" s="14">
        <f>ROUND(PAGE1!$O$47,5)</f>
        <v>0</v>
      </c>
      <c r="C49" s="14">
        <f>ROUND(PAGE1!$Q$47,5)</f>
        <v>0</v>
      </c>
    </row>
    <row r="50" spans="1:3">
      <c r="A50" s="94" t="e">
        <f>C1&amp;".E30.REM.UIBUS.APPR.TTL"</f>
        <v>#N/A</v>
      </c>
      <c r="B50" s="14">
        <f>ROUND(PAGE1!$G$44,5)</f>
        <v>0</v>
      </c>
      <c r="C50" s="14">
        <f>ROUND(PAGE1!$I$44,5)</f>
        <v>0</v>
      </c>
    </row>
    <row r="51" spans="1:3">
      <c r="A51" s="94" t="e">
        <f>C1&amp;".E30.REM.UIBUS.DISB.TTL"</f>
        <v>#N/A</v>
      </c>
      <c r="B51" s="14">
        <f>ROUND(PAGE1!$K$44,5)</f>
        <v>0</v>
      </c>
      <c r="C51" s="14">
        <f>ROUND(PAGE1!$M$44,5)</f>
        <v>0</v>
      </c>
    </row>
    <row r="52" spans="1:3">
      <c r="A52" s="94" t="e">
        <f>C1&amp;".E30.REM.UIBUS.OS.TTL"</f>
        <v>#N/A</v>
      </c>
      <c r="B52" s="14">
        <f>ROUND(PAGE1!$O$44,5)</f>
        <v>0</v>
      </c>
      <c r="C52" s="14">
        <f>ROUND(PAGE1!$Q$44,5)</f>
        <v>0</v>
      </c>
    </row>
    <row r="53" spans="1:3">
      <c r="A53" s="93" t="e">
        <f>C1&amp;".E30.REM.CONSM.APPR.LT300"</f>
        <v>#N/A</v>
      </c>
      <c r="B53" s="14">
        <f>ROUND(PAGE1!$G$50,5)</f>
        <v>0</v>
      </c>
      <c r="C53" s="14">
        <f>ROUND(PAGE1!$I$50,5)</f>
        <v>0</v>
      </c>
    </row>
    <row r="54" spans="1:3">
      <c r="A54" s="93" t="e">
        <f>C1&amp;".E30.REM.CONSM.DISB.LT300"</f>
        <v>#N/A</v>
      </c>
      <c r="B54" s="14">
        <f>ROUND(PAGE1!$K$50,5)</f>
        <v>0</v>
      </c>
      <c r="C54" s="14">
        <f>ROUND(PAGE1!$M$50,5)</f>
        <v>0</v>
      </c>
    </row>
    <row r="55" spans="1:3">
      <c r="A55" s="93" t="e">
        <f>C1&amp;".E30.REM.CONSM.OS.LT300"</f>
        <v>#N/A</v>
      </c>
      <c r="B55" s="14">
        <f>ROUND(PAGE1!$O$50,5)</f>
        <v>0</v>
      </c>
      <c r="C55" s="14">
        <f>ROUND(PAGE1!$Q$50,5)</f>
        <v>0</v>
      </c>
    </row>
    <row r="56" spans="1:3">
      <c r="A56" s="93" t="e">
        <f>C1&amp;".E30.REM.CONSM.APPR.300TO450"</f>
        <v>#N/A</v>
      </c>
      <c r="B56" s="14">
        <f>ROUND(PAGE1!$G$51,5)</f>
        <v>0</v>
      </c>
      <c r="C56" s="14">
        <f>ROUND(PAGE1!$I$51,5)</f>
        <v>0</v>
      </c>
    </row>
    <row r="57" spans="1:3">
      <c r="A57" s="93" t="e">
        <f>C1&amp;".E30.REM.CONSM.DISB.300TO450"</f>
        <v>#N/A</v>
      </c>
      <c r="B57" s="14">
        <f>ROUND(PAGE1!$K$51,5)</f>
        <v>0</v>
      </c>
      <c r="C57" s="14">
        <f>ROUND(PAGE1!$M$51,5)</f>
        <v>0</v>
      </c>
    </row>
    <row r="58" spans="1:3">
      <c r="A58" s="93" t="e">
        <f>C1&amp;".E30.REM.CONSM.OS.300TO450"</f>
        <v>#N/A</v>
      </c>
      <c r="B58" s="14">
        <f>ROUND(PAGE1!$O$51,5)</f>
        <v>0</v>
      </c>
      <c r="C58" s="14">
        <f>ROUND(PAGE1!$Q$51,5)</f>
        <v>0</v>
      </c>
    </row>
    <row r="59" spans="1:3">
      <c r="A59" s="93" t="e">
        <f>C1&amp;".E30.REM.CONSM.APPR.OVR450"</f>
        <v>#N/A</v>
      </c>
      <c r="B59" s="14">
        <f>ROUND(PAGE1!$G$52,5)</f>
        <v>0</v>
      </c>
      <c r="C59" s="14">
        <f>ROUND(PAGE1!$I$52,5)</f>
        <v>0</v>
      </c>
    </row>
    <row r="60" spans="1:3">
      <c r="A60" s="93" t="e">
        <f>C1&amp;".E30.REM.CONSM.DISB.OVR450"</f>
        <v>#N/A</v>
      </c>
      <c r="B60" s="14">
        <f>ROUND(PAGE1!$K$52,5)</f>
        <v>0</v>
      </c>
      <c r="C60" s="14">
        <f>ROUND(PAGE1!$M$52,5)</f>
        <v>0</v>
      </c>
    </row>
    <row r="61" spans="1:3">
      <c r="A61" s="93" t="e">
        <f>C1&amp;".E30.REM.CONSM.OS.OVR450"</f>
        <v>#N/A</v>
      </c>
      <c r="B61" s="14">
        <f>ROUND(PAGE1!$O$52,5)</f>
        <v>0</v>
      </c>
      <c r="C61" s="14">
        <f>ROUND(PAGE1!$Q$52,5)</f>
        <v>0</v>
      </c>
    </row>
    <row r="62" spans="1:3">
      <c r="A62" s="94" t="e">
        <f>C1&amp;".E30.REM.CONSM.APPR.TTL"</f>
        <v>#N/A</v>
      </c>
      <c r="B62" s="14">
        <f>ROUND(PAGE1!$G$49,5)</f>
        <v>0</v>
      </c>
      <c r="C62" s="14">
        <f>ROUND(PAGE1!$I$49,5)</f>
        <v>0</v>
      </c>
    </row>
    <row r="63" spans="1:3">
      <c r="A63" s="94" t="e">
        <f>C1&amp;".E30.REM.CONSM.DISB.TTL"</f>
        <v>#N/A</v>
      </c>
      <c r="B63" s="14">
        <f>ROUND(PAGE1!$K$49,5)</f>
        <v>0</v>
      </c>
      <c r="C63" s="14">
        <f>ROUND(PAGE1!$M$49,5)</f>
        <v>0</v>
      </c>
    </row>
    <row r="64" spans="1:3">
      <c r="A64" s="94" t="e">
        <f>C1&amp;".E30.REM.CONSM.OS.TTL"</f>
        <v>#N/A</v>
      </c>
      <c r="B64" s="14">
        <f>ROUND(PAGE1!$O$49,5)</f>
        <v>0</v>
      </c>
      <c r="C64" s="14">
        <f>ROUND(PAGE1!$Q$49,5)</f>
        <v>0</v>
      </c>
    </row>
    <row r="65" spans="1:3">
      <c r="A65" s="106" t="e">
        <f>C1&amp;".E30.REM.SAS.APPR.TTL"</f>
        <v>#N/A</v>
      </c>
      <c r="B65" s="14">
        <f>ROUND(PAGE1!$G$54,5)</f>
        <v>0</v>
      </c>
      <c r="C65" s="14">
        <f>ROUND(PAGE1!$I$54,5)</f>
        <v>0</v>
      </c>
    </row>
    <row r="66" spans="1:3">
      <c r="A66" s="106" t="e">
        <f>C1&amp;".E30.REM.SAS.DISB.TTL"</f>
        <v>#N/A</v>
      </c>
      <c r="B66" s="14">
        <f>ROUND(PAGE1!$K$54,5)</f>
        <v>0</v>
      </c>
      <c r="C66" s="14">
        <f>ROUND(PAGE1!$M$54,5)</f>
        <v>0</v>
      </c>
    </row>
    <row r="67" spans="1:3">
      <c r="A67" s="106" t="e">
        <f>C1&amp;".E30.REM.SAS.OS.TTL"</f>
        <v>#N/A</v>
      </c>
      <c r="B67" s="14">
        <f>ROUND(PAGE1!$O$54,5)</f>
        <v>0</v>
      </c>
      <c r="C67" s="14">
        <f>ROUND(PAGE1!$Q$54,5)</f>
        <v>0</v>
      </c>
    </row>
    <row r="68" spans="1:3">
      <c r="A68" s="93" t="e">
        <f>C1&amp;".E30.REM.RENOV.APPR."</f>
        <v>#N/A</v>
      </c>
      <c r="B68" s="14">
        <f>ROUND(PAGE2!$G$21,5)</f>
        <v>0</v>
      </c>
      <c r="C68" s="14">
        <f>ROUND(PAGE2!$I$21,5)</f>
        <v>0</v>
      </c>
    </row>
    <row r="69" spans="1:3">
      <c r="A69" s="93" t="e">
        <f>C1&amp;".E30.REM.RENOV.DISB."</f>
        <v>#N/A</v>
      </c>
      <c r="B69" s="14">
        <f>ROUND(PAGE2!$K$21,5)</f>
        <v>0</v>
      </c>
      <c r="C69" s="14">
        <f>ROUND(PAGE2!$M$21,5)</f>
        <v>0</v>
      </c>
    </row>
    <row r="70" spans="1:3">
      <c r="A70" s="93" t="e">
        <f>C1&amp;".E30.REM.RENOV.OS."</f>
        <v>#N/A</v>
      </c>
      <c r="B70" s="14">
        <f>ROUND(PAGE2!$O$21,5)</f>
        <v>0</v>
      </c>
      <c r="C70" s="14">
        <f>ROUND(PAGE2!$Q$21,5)</f>
        <v>0</v>
      </c>
    </row>
    <row r="71" spans="1:3">
      <c r="A71" s="93" t="e">
        <f>C1&amp;".E30.REM.NEW_HOUSE.APPR."</f>
        <v>#N/A</v>
      </c>
      <c r="B71" s="14">
        <f>ROUND(PAGE2!$G$24,5)</f>
        <v>0</v>
      </c>
      <c r="C71" s="14">
        <f>ROUND(PAGE2!$I$24,5)</f>
        <v>0</v>
      </c>
    </row>
    <row r="72" spans="1:3">
      <c r="A72" s="93" t="e">
        <f>C1&amp;".E30.REM.NEW_HOUSE.DISB."</f>
        <v>#N/A</v>
      </c>
      <c r="B72" s="14">
        <f>ROUND(PAGE2!$K$24,5)</f>
        <v>0</v>
      </c>
      <c r="C72" s="14">
        <f>ROUND(PAGE2!$M$24,5)</f>
        <v>0</v>
      </c>
    </row>
    <row r="73" spans="1:3">
      <c r="A73" s="93" t="e">
        <f>C1&amp;".E30.REM.NEW_HOUSE.OS."</f>
        <v>#N/A</v>
      </c>
      <c r="B73" s="14">
        <f>ROUND(PAGE2!$O$24,5)</f>
        <v>0</v>
      </c>
      <c r="C73" s="14">
        <f>ROUND(PAGE2!$Q$24,5)</f>
        <v>0</v>
      </c>
    </row>
    <row r="74" spans="1:3">
      <c r="A74" s="93" t="e">
        <f>C1&amp;".E30.REM.EXIST_HOUSE.APPR."</f>
        <v>#N/A</v>
      </c>
      <c r="B74" s="14">
        <f>ROUND(PAGE2!$G$27,5)</f>
        <v>0</v>
      </c>
      <c r="C74" s="14">
        <f>ROUND(PAGE2!$I$27,5)</f>
        <v>0</v>
      </c>
    </row>
    <row r="75" spans="1:3">
      <c r="A75" s="93" t="e">
        <f>C1&amp;".E30.REM.EXIST_HOUSE.DISB."</f>
        <v>#N/A</v>
      </c>
      <c r="B75" s="14">
        <f>ROUND(PAGE2!$K$27,5)</f>
        <v>0</v>
      </c>
      <c r="C75" s="14">
        <f>ROUND(PAGE2!$M$27,5)</f>
        <v>0</v>
      </c>
    </row>
    <row r="76" spans="1:3">
      <c r="A76" s="93" t="e">
        <f>C1&amp;".E30.REM.EXIST_HOUSE.OS."</f>
        <v>#N/A</v>
      </c>
      <c r="B76" s="14">
        <f>ROUND(PAGE2!$O$27,5)</f>
        <v>0</v>
      </c>
      <c r="C76" s="14">
        <f>ROUND(PAGE2!$Q$27,5)</f>
        <v>0</v>
      </c>
    </row>
    <row r="77" spans="1:3">
      <c r="A77" s="93" t="e">
        <f>C1&amp;".E30.REM.LAND.APPR."</f>
        <v>#N/A</v>
      </c>
      <c r="B77" s="14">
        <f>ROUND(PAGE2!$G$35,5)</f>
        <v>0</v>
      </c>
      <c r="C77" s="14">
        <f>ROUND(PAGE2!$I$35,5)</f>
        <v>0</v>
      </c>
    </row>
    <row r="78" spans="1:3">
      <c r="A78" s="93" t="e">
        <f>C1&amp;".E30.REM.LAND.DISB."</f>
        <v>#N/A</v>
      </c>
      <c r="B78" s="14">
        <f>ROUND(PAGE2!$K$35,5)</f>
        <v>0</v>
      </c>
      <c r="C78" s="14">
        <f>ROUND(PAGE2!$M$35,5)</f>
        <v>0</v>
      </c>
    </row>
    <row r="79" spans="1:3">
      <c r="A79" s="93" t="e">
        <f>C1&amp;".E30.REM.LAND.OS."</f>
        <v>#N/A</v>
      </c>
      <c r="B79" s="14">
        <f>ROUND(PAGE2!$O$35,5)</f>
        <v>0</v>
      </c>
      <c r="C79" s="14">
        <f>ROUND(PAGE2!$Q$35,5)</f>
        <v>0</v>
      </c>
    </row>
    <row r="80" spans="1:3">
      <c r="A80" s="93" t="e">
        <f>C1&amp;".E30.REM.OTHER.APPR."</f>
        <v>#N/A</v>
      </c>
      <c r="B80" s="14">
        <f>ROUND(PAGE2!$G$37,5)</f>
        <v>0</v>
      </c>
      <c r="C80" s="14">
        <f>ROUND(PAGE2!$I$37,5)</f>
        <v>0</v>
      </c>
    </row>
    <row r="81" spans="1:3">
      <c r="A81" s="93" t="e">
        <f>C1&amp;".E30.REM.OTHER.DISB."</f>
        <v>#N/A</v>
      </c>
      <c r="B81" s="14">
        <f>ROUND(PAGE2!$K$37,5)</f>
        <v>0</v>
      </c>
      <c r="C81" s="14">
        <f>ROUND(PAGE2!$M$37,5)</f>
        <v>0</v>
      </c>
    </row>
    <row r="82" spans="1:3">
      <c r="A82" s="93" t="e">
        <f>C1&amp;".E30.REM.OTHER.OS."</f>
        <v>#N/A</v>
      </c>
      <c r="B82" s="14">
        <f>ROUND(PAGE2!$O$37,5)</f>
        <v>0</v>
      </c>
      <c r="C82" s="14">
        <f>ROUND(PAGE2!$Q$37,5)</f>
        <v>0</v>
      </c>
    </row>
    <row r="83" spans="1:3">
      <c r="A83" s="93" t="e">
        <f>C1&amp;".E30.REM.LNS.RESCH."</f>
        <v>#N/A</v>
      </c>
      <c r="B83" s="14">
        <f>ROUND(PAGE2!$O$33,5)</f>
        <v>0</v>
      </c>
      <c r="C83" s="14">
        <f>ROUND(PAGE2!$Q$33,5)</f>
        <v>0</v>
      </c>
    </row>
    <row r="84" spans="1:3">
      <c r="A84" s="106" t="e">
        <f>C1&amp;".E30.REM.PURP.APPR.TTL"</f>
        <v>#N/A</v>
      </c>
      <c r="B84" s="14">
        <f>ROUND(PAGE2!$G$40,5)</f>
        <v>0</v>
      </c>
      <c r="C84" s="14">
        <f>ROUND(PAGE2!$I$40,5)</f>
        <v>0</v>
      </c>
    </row>
    <row r="85" spans="1:3">
      <c r="A85" s="106" t="e">
        <f>C1&amp;".E30.REM.PURP.DISB.TTL"</f>
        <v>#N/A</v>
      </c>
      <c r="B85" s="14">
        <f>ROUND(PAGE2!$K$40,5)</f>
        <v>0</v>
      </c>
      <c r="C85" s="14">
        <f>ROUND(PAGE2!$M$40,5)</f>
        <v>0</v>
      </c>
    </row>
    <row r="86" spans="1:3">
      <c r="A86" s="106" t="e">
        <f>C1&amp;".E30.REM.PURP.OS.TTL"</f>
        <v>#N/A</v>
      </c>
      <c r="B86" s="14">
        <f>ROUND(PAGE2!$O$40,5)</f>
        <v>0</v>
      </c>
      <c r="C86" s="14">
        <f>ROUND(PAGE2!$Q$40,5)</f>
        <v>0</v>
      </c>
    </row>
    <row r="87" spans="1:3">
      <c r="A87" s="92" t="s">
        <v>417</v>
      </c>
      <c r="B87" s="14" t="s">
        <v>415</v>
      </c>
      <c r="C87" s="14"/>
    </row>
    <row r="88" spans="1:3">
      <c r="A88" s="93" t="e">
        <f>C1&amp;".E30.REM.LN_APP.REC.RES"</f>
        <v>#N/A</v>
      </c>
      <c r="B88" s="14">
        <f>ROUND(PAGE2!$C$46,5)</f>
        <v>0</v>
      </c>
      <c r="C88" s="14"/>
    </row>
    <row r="89" spans="1:3">
      <c r="A89" s="93" t="e">
        <f>C1&amp;".E30.REM.LN_APP.REC.NRES"</f>
        <v>#N/A</v>
      </c>
      <c r="B89" s="14">
        <f>ROUND(PAGE2!$C$48,5)</f>
        <v>0</v>
      </c>
      <c r="C89" s="14"/>
    </row>
    <row r="90" spans="1:3">
      <c r="A90" s="92" t="s">
        <v>418</v>
      </c>
      <c r="B90" s="14" t="s">
        <v>415</v>
      </c>
      <c r="C90" s="14" t="s">
        <v>416</v>
      </c>
    </row>
    <row r="91" spans="1:3" ht="25.5" customHeight="1">
      <c r="A91" s="93" t="e">
        <f>C1&amp;".E30.REM_HMB.EXIST_MTG.SALES.TYPE"</f>
        <v>#N/A</v>
      </c>
      <c r="B91" s="14">
        <f>ROUND(PAGE3!$F$19,5)</f>
        <v>0</v>
      </c>
      <c r="C91" s="14">
        <f>ROUND(PAGE3!$H$19,5)</f>
        <v>0</v>
      </c>
    </row>
    <row r="92" spans="1:3" ht="25.5" customHeight="1">
      <c r="A92" s="93" t="e">
        <f>C1&amp;".E30.REM_HMB.EXIST_MTG.REPAY.TYPE"</f>
        <v>#N/A</v>
      </c>
      <c r="B92" s="14">
        <f>ROUND(PAGE3!$J$19,5)</f>
        <v>0</v>
      </c>
      <c r="C92" s="14">
        <f>ROUND(PAGE3!$L$19,5)</f>
        <v>0</v>
      </c>
    </row>
    <row r="93" spans="1:3">
      <c r="A93" s="93" t="e">
        <f>C1&amp;".E30.REM_HMB.EXIST_MTG.END.TYPE"</f>
        <v>#N/A</v>
      </c>
      <c r="B93" s="14">
        <f>ROUND(PAGE3!$N$19,5)</f>
        <v>0</v>
      </c>
      <c r="C93" s="14">
        <f>ROUND(PAGE3!$P$19,5)</f>
        <v>0</v>
      </c>
    </row>
    <row r="94" spans="1:3" ht="25.5" customHeight="1">
      <c r="A94" s="93" t="e">
        <f>C1&amp;".E30.REM_HMB.NEW_CONST.SALES.TYPE"</f>
        <v>#N/A</v>
      </c>
      <c r="B94" s="14">
        <f>ROUND(PAGE3!$F$21,5)</f>
        <v>0</v>
      </c>
      <c r="C94" s="14">
        <f>ROUND(PAGE3!$H$21,5)</f>
        <v>0</v>
      </c>
    </row>
    <row r="95" spans="1:3" ht="25.5" customHeight="1">
      <c r="A95" s="93" t="e">
        <f>C1&amp;".E30.REM_HMB.NEW_CONST.REPAY.TYPE"</f>
        <v>#N/A</v>
      </c>
      <c r="B95" s="14">
        <f>ROUND(PAGE3!$J$21,5)</f>
        <v>0</v>
      </c>
      <c r="C95" s="14">
        <f>ROUND(PAGE3!$L$21,5)</f>
        <v>0</v>
      </c>
    </row>
    <row r="96" spans="1:3">
      <c r="A96" s="93" t="e">
        <f>C1&amp;".E30.REM_HMB.NEW_CONST.END.TYPE"</f>
        <v>#N/A</v>
      </c>
      <c r="B96" s="14">
        <f>ROUND(PAGE3!$N$21,5)</f>
        <v>0</v>
      </c>
      <c r="C96" s="14">
        <f>ROUND(PAGE3!$P$21,5)</f>
        <v>0</v>
      </c>
    </row>
    <row r="97" spans="1:7">
      <c r="A97" s="106" t="e">
        <f>C1&amp;".E30.REM_HMB.SALES.TTL"</f>
        <v>#N/A</v>
      </c>
      <c r="B97" s="14">
        <f>ROUND(PAGE3!$F$23,5)</f>
        <v>0</v>
      </c>
      <c r="C97" s="14">
        <f>ROUND(PAGE3!$H$23,5)</f>
        <v>0</v>
      </c>
    </row>
    <row r="98" spans="1:7">
      <c r="A98" s="106" t="e">
        <f>C1&amp;".E30.REM_HMB.REPAY.TTL"</f>
        <v>#N/A</v>
      </c>
      <c r="B98" s="14">
        <f>ROUND(PAGE3!$J$23,5)</f>
        <v>0</v>
      </c>
      <c r="C98" s="14">
        <f>ROUND(PAGE3!$L$23,5)</f>
        <v>0</v>
      </c>
      <c r="G98" s="14" t="s">
        <v>33</v>
      </c>
    </row>
    <row r="99" spans="1:7">
      <c r="A99" s="106" t="e">
        <f>C1&amp;".E30.REM_HMB.END.TTL"</f>
        <v>#N/A</v>
      </c>
      <c r="B99" s="14">
        <f>ROUND(PAGE3!$N$23,5)</f>
        <v>0</v>
      </c>
      <c r="C99" s="14">
        <f>ROUND(PAGE3!$P$23,5)</f>
        <v>0</v>
      </c>
    </row>
    <row r="100" spans="1:7">
      <c r="A100" s="92" t="s">
        <v>419</v>
      </c>
      <c r="B100" s="14" t="s">
        <v>415</v>
      </c>
      <c r="C100" s="14" t="s">
        <v>420</v>
      </c>
      <c r="D100" s="14" t="s">
        <v>421</v>
      </c>
    </row>
    <row r="101" spans="1:7" ht="25.5" customHeight="1">
      <c r="A101" s="93" t="e">
        <f>C1&amp;".E30.REM_HMB.EXIST_MTG.ARREARS.1TO3MTHS"</f>
        <v>#N/A</v>
      </c>
      <c r="B101" s="14">
        <f>ROUND(PAGE3!$B$32,5)</f>
        <v>0</v>
      </c>
      <c r="C101" s="14">
        <f>ROUND(PAGE3!$D$32,5)</f>
        <v>0</v>
      </c>
      <c r="D101" s="88">
        <f>ROUND(PAGE3!$F$32,5)</f>
        <v>0</v>
      </c>
    </row>
    <row r="102" spans="1:7" ht="25.5" customHeight="1">
      <c r="A102" s="93" t="e">
        <f>C1&amp;".E30.REM_HMB.EXIST_MTG.ARREARS.OVR4MTHS"</f>
        <v>#N/A</v>
      </c>
      <c r="B102" s="14">
        <f>ROUND(PAGE3!$J$32,5)</f>
        <v>0</v>
      </c>
      <c r="C102" s="14">
        <f>ROUND(PAGE3!$L$32,5)</f>
        <v>0</v>
      </c>
      <c r="D102" s="88">
        <f>ROUND(PAGE3!$N$32,5)</f>
        <v>0</v>
      </c>
    </row>
    <row r="103" spans="1:7" ht="25.5" customHeight="1">
      <c r="A103" s="93" t="e">
        <f>C1&amp;".E30.REM_HMB.NEW.ARREARS.1TO3MTHS"</f>
        <v>#N/A</v>
      </c>
      <c r="B103" s="14">
        <f>ROUND(PAGE3!$B$35,5)</f>
        <v>0</v>
      </c>
      <c r="C103" s="14">
        <f>ROUND(PAGE3!$D$35,5)</f>
        <v>0</v>
      </c>
      <c r="D103" s="88">
        <f>ROUND(PAGE3!$F$35,5)</f>
        <v>0</v>
      </c>
    </row>
    <row r="104" spans="1:7" ht="25.5" customHeight="1">
      <c r="A104" s="93" t="e">
        <f>C1&amp;".E30.REM_HMB.NEW.ARREARS.OVR4MTHS"</f>
        <v>#N/A</v>
      </c>
      <c r="B104" s="14">
        <f>ROUND(PAGE3!$J$35,5)</f>
        <v>0</v>
      </c>
      <c r="C104" s="14">
        <f>ROUND(PAGE3!$L$35,5)</f>
        <v>0</v>
      </c>
      <c r="D104" s="88">
        <f>ROUND(PAGE3!$N$35,5)</f>
        <v>0</v>
      </c>
    </row>
    <row r="105" spans="1:7" ht="25.5" customHeight="1">
      <c r="A105" s="106" t="e">
        <f>C1&amp;".E30.REM_HMB.1TO3MTHS.TTL"</f>
        <v>#N/A</v>
      </c>
      <c r="B105" s="14">
        <f>ROUND(PAGE3!$B$37,5)</f>
        <v>0</v>
      </c>
      <c r="C105" s="14">
        <f>ROUND(PAGE3!$D$37,5)</f>
        <v>0</v>
      </c>
      <c r="D105" s="107">
        <f>ROUND(PAGE3!$F$37,5)</f>
        <v>0</v>
      </c>
    </row>
    <row r="106" spans="1:7" ht="25.5" customHeight="1">
      <c r="A106" s="106" t="e">
        <f>C1&amp;".E30.REM_HMB.OVR4MTHS.TTL"</f>
        <v>#N/A</v>
      </c>
      <c r="B106" s="14">
        <f>ROUND(PAGE3!$J$37,5)</f>
        <v>0</v>
      </c>
      <c r="C106" s="14">
        <f>ROUND(PAGE3!$L$37,5)</f>
        <v>0</v>
      </c>
      <c r="D106" s="107">
        <f>ROUND(PAGE3!$N$37,5)</f>
        <v>0</v>
      </c>
    </row>
    <row r="107" spans="1:7">
      <c r="A107" s="92" t="s">
        <v>422</v>
      </c>
      <c r="B107" s="14" t="s">
        <v>415</v>
      </c>
      <c r="C107" s="14" t="s">
        <v>416</v>
      </c>
    </row>
    <row r="108" spans="1:7" ht="25.5" customHeight="1">
      <c r="A108" s="93" t="e">
        <f>C1&amp;".E30.REM_HMB.TTL_MRTG.ARREARS."</f>
        <v>#N/A</v>
      </c>
      <c r="B108" s="14">
        <f>ROUND(PAGE3!$H$45,5)</f>
        <v>0</v>
      </c>
      <c r="C108" s="14">
        <f>ROUND(PAGE3!$L$45,5)</f>
        <v>0</v>
      </c>
    </row>
    <row r="109" spans="1:7" ht="25.5" customHeight="1">
      <c r="A109" s="93" t="e">
        <f>C1&amp;".E30.REM_HMB.TTL_MRTG.ARREARS.EXIST_MRTG"</f>
        <v>#N/A</v>
      </c>
      <c r="B109" s="14">
        <f>ROUND(PAGE3!$H$47,5)</f>
        <v>0</v>
      </c>
      <c r="C109" s="14">
        <f>ROUND(PAGE3!$L$47,5)</f>
        <v>0</v>
      </c>
    </row>
    <row r="110" spans="1:7" ht="25.5" customHeight="1">
      <c r="A110" s="93" t="e">
        <f>C1&amp;".E30.REM_HMB.TTL_MRTG.ARREARS.NEW_CONSTR"</f>
        <v>#N/A</v>
      </c>
      <c r="B110" s="14">
        <f>ROUND(PAGE3!$H$50,5)</f>
        <v>0</v>
      </c>
      <c r="C110" s="14">
        <f>ROUND(PAGE3!$L$50,5)</f>
        <v>0</v>
      </c>
    </row>
    <row r="111" spans="1:7" ht="25.5" customHeight="1">
      <c r="A111" s="93" t="e">
        <f>C1&amp;".E30.REM_HMB.TTL_MRTG.ARREARS.BNK_TR_CO"</f>
        <v>#N/A</v>
      </c>
      <c r="B111" s="14">
        <f>ROUND(PAGE3!$H$53,5)</f>
        <v>0</v>
      </c>
      <c r="C111" s="14">
        <f>ROUND(PAGE3!$L$53,5)</f>
        <v>0</v>
      </c>
    </row>
    <row r="112" spans="1:7" ht="25.5" customHeight="1">
      <c r="A112" s="106" t="e">
        <f>C1&amp;".E30.REM_HMB.TTL_MRTG.ARREARS.TTL"</f>
        <v>#N/A</v>
      </c>
      <c r="B112" s="14">
        <f>ROUND(PAGE3!$H$55,5)</f>
        <v>0</v>
      </c>
      <c r="C112" s="14">
        <f>ROUND(PAGE3!$L$55,5)</f>
        <v>0</v>
      </c>
    </row>
    <row r="113" spans="1:3">
      <c r="A113" s="93" t="e">
        <f>C1&amp;".E30.REM_NIB.PBSEC.APPR.LT100"</f>
        <v>#N/A</v>
      </c>
      <c r="B113" s="14">
        <f>ROUND(PAGE4!$G$21,5)</f>
        <v>0</v>
      </c>
      <c r="C113" s="14">
        <f>ROUND(PAGE4!$I$21,5)</f>
        <v>0</v>
      </c>
    </row>
    <row r="114" spans="1:3">
      <c r="A114" s="93" t="e">
        <f>C1&amp;".E30.REM_NIB.PBSEC.DISB.LT100"</f>
        <v>#N/A</v>
      </c>
      <c r="B114" s="14">
        <f>ROUND(PAGE4!$K$21,5)</f>
        <v>0</v>
      </c>
      <c r="C114" s="14">
        <f>ROUND(PAGE4!$M$21,5)</f>
        <v>0</v>
      </c>
    </row>
    <row r="115" spans="1:3">
      <c r="A115" s="93" t="e">
        <f>C1&amp;".E30.REM_NIB.PBSEC.OS.LT100"</f>
        <v>#N/A</v>
      </c>
      <c r="B115" s="14">
        <f>ROUND(PAGE4!$O$21,5)</f>
        <v>0</v>
      </c>
      <c r="C115" s="14">
        <f>ROUND(PAGE4!$Q$21,5)</f>
        <v>0</v>
      </c>
    </row>
    <row r="116" spans="1:3">
      <c r="A116" s="93" t="e">
        <f>C1&amp;".E30.REM_NIB.PBSEC.APPR.100TO200"</f>
        <v>#N/A</v>
      </c>
      <c r="B116" s="14">
        <f>ROUND(PAGE4!$G$22,5)</f>
        <v>0</v>
      </c>
      <c r="C116" s="14">
        <f>ROUND(PAGE4!$I$22,5)</f>
        <v>0</v>
      </c>
    </row>
    <row r="117" spans="1:3">
      <c r="A117" s="93" t="e">
        <f>C1&amp;".E30.REM_NIB.PBSEC.DISB.100TO200"</f>
        <v>#N/A</v>
      </c>
      <c r="B117" s="14">
        <f>ROUND(PAGE4!$K$22,5)</f>
        <v>0</v>
      </c>
      <c r="C117" s="14">
        <f>ROUND(PAGE4!$M$22,5)</f>
        <v>0</v>
      </c>
    </row>
    <row r="118" spans="1:3">
      <c r="A118" s="93" t="e">
        <f>C1&amp;".E30.REM_NIB.PBSEC.OS.100TO200"</f>
        <v>#N/A</v>
      </c>
      <c r="B118" s="14">
        <f>ROUND(PAGE4!$O$22,5)</f>
        <v>0</v>
      </c>
      <c r="C118" s="14">
        <f>ROUND(PAGE4!$Q$22,5)</f>
        <v>0</v>
      </c>
    </row>
    <row r="119" spans="1:3">
      <c r="A119" s="93" t="e">
        <f>C1&amp;".E30.REM_NIB.PBSEC.APPR.200TO300"</f>
        <v>#N/A</v>
      </c>
      <c r="B119" s="14">
        <f>ROUND(PAGE4!$G$23,5)</f>
        <v>0</v>
      </c>
      <c r="C119" s="14">
        <f>ROUND(PAGE4!$I$23,5)</f>
        <v>0</v>
      </c>
    </row>
    <row r="120" spans="1:3">
      <c r="A120" s="93" t="e">
        <f>C1&amp;".E30.REM_NIB.PBSEC.DISB.200TO300"</f>
        <v>#N/A</v>
      </c>
      <c r="B120" s="14">
        <f>ROUND(PAGE4!$K$23,5)</f>
        <v>0</v>
      </c>
      <c r="C120" s="14">
        <f>ROUND(PAGE4!$M$23,5)</f>
        <v>0</v>
      </c>
    </row>
    <row r="121" spans="1:3">
      <c r="A121" s="93" t="e">
        <f>C1&amp;".E30.REM_NIB.PBSEC.OS.200TO300"</f>
        <v>#N/A</v>
      </c>
      <c r="B121" s="14">
        <f>ROUND(PAGE4!$O$23,5)</f>
        <v>0</v>
      </c>
      <c r="C121" s="14">
        <f>ROUND(PAGE4!$Q$23,5)</f>
        <v>0</v>
      </c>
    </row>
    <row r="122" spans="1:3">
      <c r="A122" s="93" t="e">
        <f>C1&amp;".E30.REM_NIB.PBSEC.APPR.OVR300"</f>
        <v>#N/A</v>
      </c>
      <c r="B122" s="14">
        <f>ROUND(PAGE4!$G$24,5)</f>
        <v>0</v>
      </c>
      <c r="C122" s="14">
        <f>ROUND(PAGE4!$I$24,5)</f>
        <v>0</v>
      </c>
    </row>
    <row r="123" spans="1:3">
      <c r="A123" s="93" t="e">
        <f>C1&amp;".E30.REM_NIB.PBSEC.DISB.OVR300"</f>
        <v>#N/A</v>
      </c>
      <c r="B123" s="14">
        <f>ROUND(PAGE4!$K$24,5)</f>
        <v>0</v>
      </c>
      <c r="C123" s="14">
        <f>ROUND(PAGE4!$M$24,5)</f>
        <v>0</v>
      </c>
    </row>
    <row r="124" spans="1:3">
      <c r="A124" s="93" t="e">
        <f>C1&amp;".E30.REM_NIB.PBSEC.OS.OVR300"</f>
        <v>#N/A</v>
      </c>
      <c r="B124" s="14">
        <f>ROUND(PAGE4!$O$24,5)</f>
        <v>0</v>
      </c>
      <c r="C124" s="14">
        <f>ROUND(PAGE4!$Q$24,5)</f>
        <v>0</v>
      </c>
    </row>
    <row r="125" spans="1:3">
      <c r="A125" s="94" t="e">
        <f>C1&amp;".E30.REM_NIB.PBSEC.APPR.TTL"</f>
        <v>#N/A</v>
      </c>
      <c r="B125" s="14">
        <f>ROUND(PAGE4!$G$20,5)</f>
        <v>0</v>
      </c>
      <c r="C125" s="14">
        <f>ROUND(PAGE4!$I$20,5)</f>
        <v>0</v>
      </c>
    </row>
    <row r="126" spans="1:3">
      <c r="A126" s="94" t="e">
        <f>C1&amp;".E30.REM_NIB.PBSEC.DISB.TTL"</f>
        <v>#N/A</v>
      </c>
      <c r="B126" s="14">
        <f>ROUND(PAGE4!$K$20,5)</f>
        <v>0</v>
      </c>
      <c r="C126" s="14">
        <f>ROUND(PAGE4!$M$20,5)</f>
        <v>0</v>
      </c>
    </row>
    <row r="127" spans="1:3">
      <c r="A127" s="94" t="e">
        <f>C1&amp;".E30.REM_NIB.PBSEC.OS.TTL"</f>
        <v>#N/A</v>
      </c>
      <c r="B127" s="14">
        <f>ROUND(PAGE4!$O$20,5)</f>
        <v>0</v>
      </c>
      <c r="C127" s="14">
        <f>ROUND(PAGE4!$Q$20,5)</f>
        <v>0</v>
      </c>
    </row>
    <row r="128" spans="1:3">
      <c r="A128" s="93" t="e">
        <f>C1&amp;".E30.REM_NIB.PVFIN.APPR.LT100"</f>
        <v>#N/A</v>
      </c>
      <c r="B128" s="14">
        <f>ROUND(PAGE4!$G$28,5)</f>
        <v>0</v>
      </c>
      <c r="C128" s="14">
        <f>ROUND(PAGE4!$I$28,5)</f>
        <v>0</v>
      </c>
    </row>
    <row r="129" spans="1:3">
      <c r="A129" s="93" t="e">
        <f>C1&amp;".E30.REM_NIB.PVFIN.DISB.LT100"</f>
        <v>#N/A</v>
      </c>
      <c r="B129" s="14">
        <f>ROUND(PAGE4!$K$28,5)</f>
        <v>0</v>
      </c>
      <c r="C129" s="14">
        <f>ROUND(PAGE4!$M$28,5)</f>
        <v>0</v>
      </c>
    </row>
    <row r="130" spans="1:3">
      <c r="A130" s="93" t="e">
        <f>C1&amp;".E30.REM_NIB.PVFIN.OS.LT100"</f>
        <v>#N/A</v>
      </c>
      <c r="B130" s="14">
        <f>ROUND(PAGE4!$O$28,5)</f>
        <v>0</v>
      </c>
      <c r="C130" s="14">
        <f>ROUND(PAGE4!$Q$28,5)</f>
        <v>0</v>
      </c>
    </row>
    <row r="131" spans="1:3">
      <c r="A131" s="93" t="e">
        <f>C1&amp;".E30.REM_NIB.PVFIN.APPR.100TO200"</f>
        <v>#N/A</v>
      </c>
      <c r="B131" s="14">
        <f>ROUND(PAGE4!$G$29,5)</f>
        <v>0</v>
      </c>
      <c r="C131" s="14">
        <f>ROUND(PAGE4!$I$29,5)</f>
        <v>0</v>
      </c>
    </row>
    <row r="132" spans="1:3">
      <c r="A132" s="93" t="e">
        <f>C1&amp;".E30.REM_NIB.PVFIN.DISB.100TO200"</f>
        <v>#N/A</v>
      </c>
      <c r="B132" s="14">
        <f>ROUND(PAGE4!$K$29,5)</f>
        <v>0</v>
      </c>
      <c r="C132" s="14">
        <f>ROUND(PAGE4!$M$29,5)</f>
        <v>0</v>
      </c>
    </row>
    <row r="133" spans="1:3">
      <c r="A133" s="93" t="e">
        <f>C1&amp;".E30.REM_NIB.PVFIN.OS.100TO200"</f>
        <v>#N/A</v>
      </c>
      <c r="B133" s="14">
        <f>ROUND(PAGE4!$O$29,5)</f>
        <v>0</v>
      </c>
      <c r="C133" s="14">
        <f>ROUND(PAGE4!$Q$29,5)</f>
        <v>0</v>
      </c>
    </row>
    <row r="134" spans="1:3">
      <c r="A134" s="93" t="e">
        <f>C1&amp;".E30.REM_NIB.PVFIN.APPR.200TO300"</f>
        <v>#N/A</v>
      </c>
      <c r="B134" s="14">
        <f>ROUND(PAGE4!$G$30,5)</f>
        <v>0</v>
      </c>
      <c r="C134" s="14">
        <f>ROUND(PAGE4!$I$30,5)</f>
        <v>0</v>
      </c>
    </row>
    <row r="135" spans="1:3">
      <c r="A135" s="93" t="e">
        <f>C1&amp;".E30.REM_NIB.PVFIN.DISB.200TO300"</f>
        <v>#N/A</v>
      </c>
      <c r="B135" s="14">
        <f>ROUND(PAGE4!$K$30,5)</f>
        <v>0</v>
      </c>
      <c r="C135" s="14">
        <f>ROUND(PAGE4!$M$30,5)</f>
        <v>0</v>
      </c>
    </row>
    <row r="136" spans="1:3">
      <c r="A136" s="93" t="e">
        <f>C1&amp;".E30.REM_NIB.PVFIN.OS.200TO300"</f>
        <v>#N/A</v>
      </c>
      <c r="B136" s="14">
        <f>ROUND(PAGE4!$O$30,5)</f>
        <v>0</v>
      </c>
      <c r="C136" s="14">
        <f>ROUND(PAGE4!$Q$30,5)</f>
        <v>0</v>
      </c>
    </row>
    <row r="137" spans="1:3">
      <c r="A137" s="93" t="e">
        <f>C1&amp;".E30.REM_NIB.PVFIN.APPR.OVR300"</f>
        <v>#N/A</v>
      </c>
      <c r="B137" s="14">
        <f>ROUND(PAGE4!$G$31,5)</f>
        <v>0</v>
      </c>
      <c r="C137" s="14">
        <f>ROUND(PAGE4!$I$31,5)</f>
        <v>0</v>
      </c>
    </row>
    <row r="138" spans="1:3">
      <c r="A138" s="93" t="e">
        <f>C1&amp;".E30.REM_NIB.PVFIN.DISB.OVR300"</f>
        <v>#N/A</v>
      </c>
      <c r="B138" s="14">
        <f>ROUND(PAGE4!$K$31,5)</f>
        <v>0</v>
      </c>
      <c r="C138" s="14">
        <f>ROUND(PAGE4!$M$31,5)</f>
        <v>0</v>
      </c>
    </row>
    <row r="139" spans="1:3">
      <c r="A139" s="93" t="e">
        <f>C1&amp;".E30.REM_NIB.PVFIN.OS.OVR300"</f>
        <v>#N/A</v>
      </c>
      <c r="B139" s="14">
        <f>ROUND(PAGE4!$O$31,5)</f>
        <v>0</v>
      </c>
      <c r="C139" s="14">
        <f>ROUND(PAGE4!$Q$31,5)</f>
        <v>0</v>
      </c>
    </row>
    <row r="140" spans="1:3">
      <c r="A140" s="94" t="e">
        <f>C1&amp;".E30.REM_NIB.PVFIN.APPR.TTL"</f>
        <v>#N/A</v>
      </c>
      <c r="B140" s="14">
        <f>ROUND(PAGE4!$G$27,5)</f>
        <v>0</v>
      </c>
      <c r="C140" s="14">
        <f>ROUND(PAGE4!$I$27,5)</f>
        <v>0</v>
      </c>
    </row>
    <row r="141" spans="1:3">
      <c r="A141" s="94" t="e">
        <f>C1&amp;".E30.REM_NIB.PVFIN.DISB.TTL"</f>
        <v>#N/A</v>
      </c>
      <c r="B141" s="14">
        <f>ROUND(PAGE4!$K$27,5)</f>
        <v>0</v>
      </c>
      <c r="C141" s="14">
        <f>ROUND(PAGE4!$M$27,5)</f>
        <v>0</v>
      </c>
    </row>
    <row r="142" spans="1:3">
      <c r="A142" s="94" t="e">
        <f>C1&amp;".E30.REM_NIB.PVFIN.OS.TTL"</f>
        <v>#N/A</v>
      </c>
      <c r="B142" s="14">
        <f>ROUND(PAGE4!$O$27,5)</f>
        <v>0</v>
      </c>
      <c r="C142" s="14">
        <f>ROUND(PAGE4!$Q$27,5)</f>
        <v>0</v>
      </c>
    </row>
    <row r="143" spans="1:3">
      <c r="A143" s="93" t="e">
        <f>C1&amp;".E30.REM_NIB.IBUS.APPR.LT100"</f>
        <v>#N/A</v>
      </c>
      <c r="B143" s="14">
        <f>ROUND(PAGE4!$G$35,5)</f>
        <v>0</v>
      </c>
      <c r="C143" s="14">
        <f>ROUND(PAGE4!$I$35,5)</f>
        <v>0</v>
      </c>
    </row>
    <row r="144" spans="1:3">
      <c r="A144" s="93" t="e">
        <f>C1&amp;".E30.REM_NIB.IBUS.DISB.LT100"</f>
        <v>#N/A</v>
      </c>
      <c r="B144" s="14">
        <f>ROUND(PAGE4!$K$35,5)</f>
        <v>0</v>
      </c>
      <c r="C144" s="14">
        <f>ROUND(PAGE4!$M$35,5)</f>
        <v>0</v>
      </c>
    </row>
    <row r="145" spans="1:3">
      <c r="A145" s="93" t="e">
        <f>C1&amp;".E30.REM_NIB.IBUS.OS.LT100"</f>
        <v>#N/A</v>
      </c>
      <c r="B145" s="14">
        <f>ROUND(PAGE4!$O$35,5)</f>
        <v>0</v>
      </c>
      <c r="C145" s="14">
        <f>ROUND(PAGE4!$Q$35,5)</f>
        <v>0</v>
      </c>
    </row>
    <row r="146" spans="1:3">
      <c r="A146" s="93" t="e">
        <f>C1&amp;".E30.REM_NIB.IBUS.APPR.100TO200"</f>
        <v>#N/A</v>
      </c>
      <c r="B146" s="14">
        <f>ROUND(PAGE4!$G$36,5)</f>
        <v>0</v>
      </c>
      <c r="C146" s="14">
        <f>ROUND(PAGE4!$I$36,5)</f>
        <v>0</v>
      </c>
    </row>
    <row r="147" spans="1:3">
      <c r="A147" s="93" t="e">
        <f>C1&amp;".E30.REM_NIB.IBUS.DISB.100TO200"</f>
        <v>#N/A</v>
      </c>
      <c r="B147" s="14">
        <f>ROUND(PAGE4!$K$36,5)</f>
        <v>0</v>
      </c>
      <c r="C147" s="14">
        <f>ROUND(PAGE4!$M$36,5)</f>
        <v>0</v>
      </c>
    </row>
    <row r="148" spans="1:3">
      <c r="A148" s="93" t="e">
        <f>C1&amp;".E30.REM_NIB.IBUS.OS.100TO200"</f>
        <v>#N/A</v>
      </c>
      <c r="B148" s="14">
        <f>ROUND(PAGE4!$O$36,5)</f>
        <v>0</v>
      </c>
      <c r="C148" s="14">
        <f>ROUND(PAGE4!$Q$36,5)</f>
        <v>0</v>
      </c>
    </row>
    <row r="149" spans="1:3">
      <c r="A149" s="93" t="e">
        <f>C1&amp;".E30.REM_NIB.IBUS.APPR.200TO300"</f>
        <v>#N/A</v>
      </c>
      <c r="B149" s="14">
        <f>ROUND(PAGE4!$G$37,5)</f>
        <v>0</v>
      </c>
      <c r="C149" s="14">
        <f>ROUND(PAGE4!$I$37,5)</f>
        <v>0</v>
      </c>
    </row>
    <row r="150" spans="1:3">
      <c r="A150" s="93" t="e">
        <f>C1&amp;".E30.REM_NIB.IBUS.DISB.200TO300"</f>
        <v>#N/A</v>
      </c>
      <c r="B150" s="14">
        <f>ROUND(PAGE4!$K$37,5)</f>
        <v>0</v>
      </c>
      <c r="C150" s="14">
        <f>ROUND(PAGE4!$M$37,5)</f>
        <v>0</v>
      </c>
    </row>
    <row r="151" spans="1:3">
      <c r="A151" s="93" t="e">
        <f>C1&amp;".E30.REM_NIB.IBUS.OS.200TO300"</f>
        <v>#N/A</v>
      </c>
      <c r="B151" s="14">
        <f>ROUND(PAGE4!$O$37,5)</f>
        <v>0</v>
      </c>
      <c r="C151" s="14">
        <f>ROUND(PAGE4!$Q$37,5)</f>
        <v>0</v>
      </c>
    </row>
    <row r="152" spans="1:3">
      <c r="A152" s="93" t="e">
        <f>C1&amp;".E30.REM_NIB.IBUS.APPR.OVR300"</f>
        <v>#N/A</v>
      </c>
      <c r="B152" s="14">
        <f>ROUND(PAGE4!$G$38,5)</f>
        <v>0</v>
      </c>
      <c r="C152" s="14">
        <f>ROUND(PAGE4!$I$38,5)</f>
        <v>0</v>
      </c>
    </row>
    <row r="153" spans="1:3">
      <c r="A153" s="93" t="e">
        <f>C1&amp;".E30.REM_NIB.IBUS.DISB.OVR300"</f>
        <v>#N/A</v>
      </c>
      <c r="B153" s="14">
        <f>ROUND(PAGE4!$K$38,5)</f>
        <v>0</v>
      </c>
      <c r="C153" s="14">
        <f>ROUND(PAGE4!$M$38,5)</f>
        <v>0</v>
      </c>
    </row>
    <row r="154" spans="1:3">
      <c r="A154" s="93" t="e">
        <f>C1&amp;".E30.REM_NIB.IBUS.OS.OVR300"</f>
        <v>#N/A</v>
      </c>
      <c r="B154" s="14">
        <f>ROUND(PAGE4!$O$38,5)</f>
        <v>0</v>
      </c>
      <c r="C154" s="14">
        <f>ROUND(PAGE4!$Q$38,5)</f>
        <v>0</v>
      </c>
    </row>
    <row r="155" spans="1:3">
      <c r="A155" s="94" t="e">
        <f>C1&amp;".E30.REM_NIB.IBUS.APPR.TTL"</f>
        <v>#N/A</v>
      </c>
      <c r="B155" s="14">
        <f>ROUND(PAGE4!$G$34,5)</f>
        <v>0</v>
      </c>
      <c r="C155" s="14">
        <f>ROUND(PAGE4!$I$34,5)</f>
        <v>0</v>
      </c>
    </row>
    <row r="156" spans="1:3">
      <c r="A156" s="94" t="e">
        <f>C1&amp;".E30.REM_NIB.IBUS.DISB.TTL"</f>
        <v>#N/A</v>
      </c>
      <c r="B156" s="14">
        <f>ROUND(PAGE4!$K$34,5)</f>
        <v>0</v>
      </c>
      <c r="C156" s="14">
        <f>ROUND(PAGE4!$M$34,5)</f>
        <v>0</v>
      </c>
    </row>
    <row r="157" spans="1:3">
      <c r="A157" s="94" t="e">
        <f>C1&amp;".E30.REM_NIB.IBUS.OS.TTL"</f>
        <v>#N/A</v>
      </c>
      <c r="B157" s="14">
        <f>ROUND(PAGE4!$O$34,5)</f>
        <v>0</v>
      </c>
      <c r="C157" s="14">
        <f>ROUND(PAGE4!$Q$34,5)</f>
        <v>0</v>
      </c>
    </row>
    <row r="158" spans="1:3">
      <c r="A158" s="93" t="e">
        <f>C1&amp;".E30.REM_NIB.UIBUS.APPR.LT100"</f>
        <v>#N/A</v>
      </c>
      <c r="B158" s="14">
        <f>ROUND(PAGE4!$G$42,5)</f>
        <v>0</v>
      </c>
      <c r="C158" s="14">
        <f>ROUND(PAGE4!$I$42,5)</f>
        <v>0</v>
      </c>
    </row>
    <row r="159" spans="1:3">
      <c r="A159" s="93" t="e">
        <f>C1&amp;".E30.REM_NIB.UIBUS.DISB.LT100"</f>
        <v>#N/A</v>
      </c>
      <c r="B159" s="14">
        <f>ROUND(PAGE4!$K$42,5)</f>
        <v>0</v>
      </c>
      <c r="C159" s="14">
        <f>ROUND(PAGE4!$M$42,5)</f>
        <v>0</v>
      </c>
    </row>
    <row r="160" spans="1:3">
      <c r="A160" s="93" t="e">
        <f>C1&amp;".E30.REM_NIB.UIBUS.OS.LT100"</f>
        <v>#N/A</v>
      </c>
      <c r="B160" s="14">
        <f>ROUND(PAGE4!$O$42,5)</f>
        <v>0</v>
      </c>
      <c r="C160" s="14">
        <f>ROUND(PAGE4!$Q$42,5)</f>
        <v>0</v>
      </c>
    </row>
    <row r="161" spans="1:3">
      <c r="A161" s="93" t="e">
        <f>C1&amp;".E30.REM_NIB.UIBUS.APPR.100TO200"</f>
        <v>#N/A</v>
      </c>
      <c r="B161" s="14">
        <f>ROUND(PAGE4!$G$43,5)</f>
        <v>0</v>
      </c>
      <c r="C161" s="14">
        <f>ROUND(PAGE4!$I$43,5)</f>
        <v>0</v>
      </c>
    </row>
    <row r="162" spans="1:3">
      <c r="A162" s="93" t="e">
        <f>C1&amp;".E30.REM_NIB.UIBUS.DISB.100TO200"</f>
        <v>#N/A</v>
      </c>
      <c r="B162" s="14">
        <f>ROUND(PAGE4!$K$43,5)</f>
        <v>0</v>
      </c>
      <c r="C162" s="14">
        <f>ROUND(PAGE4!$M$43,5)</f>
        <v>0</v>
      </c>
    </row>
    <row r="163" spans="1:3">
      <c r="A163" s="93" t="e">
        <f>C1&amp;".E30.REM_NIB.UIBUS.OS.100TO200"</f>
        <v>#N/A</v>
      </c>
      <c r="B163" s="14">
        <f>ROUND(PAGE4!$O$43,5)</f>
        <v>0</v>
      </c>
      <c r="C163" s="14">
        <f>ROUND(PAGE4!$Q$43,5)</f>
        <v>0</v>
      </c>
    </row>
    <row r="164" spans="1:3">
      <c r="A164" s="93" t="e">
        <f>C1&amp;".E30.REM_NIB.UIBUS.APPR.200TO300"</f>
        <v>#N/A</v>
      </c>
      <c r="B164" s="14">
        <f>ROUND(PAGE4!$G$44,5)</f>
        <v>0</v>
      </c>
      <c r="C164" s="14">
        <f>ROUND(PAGE4!$I$44,5)</f>
        <v>0</v>
      </c>
    </row>
    <row r="165" spans="1:3">
      <c r="A165" s="93" t="e">
        <f>C1&amp;".E30.REM_NIB.UIBUS.DISB.200TO300"</f>
        <v>#N/A</v>
      </c>
      <c r="B165" s="14">
        <f>ROUND(PAGE4!$K$44,5)</f>
        <v>0</v>
      </c>
      <c r="C165" s="14">
        <f>ROUND(PAGE4!$M$44,5)</f>
        <v>0</v>
      </c>
    </row>
    <row r="166" spans="1:3">
      <c r="A166" s="93" t="e">
        <f>C1&amp;".E30.REM_NIB.UIBUS.OS.200TO300"</f>
        <v>#N/A</v>
      </c>
      <c r="B166" s="14">
        <f>ROUND(PAGE4!$O$44,5)</f>
        <v>0</v>
      </c>
      <c r="C166" s="14">
        <f>ROUND(PAGE4!$Q$44,5)</f>
        <v>0</v>
      </c>
    </row>
    <row r="167" spans="1:3">
      <c r="A167" s="93" t="e">
        <f>C1&amp;".E30.REM_NIB.UIBUS.APPR.OVR300"</f>
        <v>#N/A</v>
      </c>
      <c r="B167" s="14">
        <f>ROUND(PAGE4!$G$45,5)</f>
        <v>0</v>
      </c>
      <c r="C167" s="14">
        <f>ROUND(PAGE4!$I$45,5)</f>
        <v>0</v>
      </c>
    </row>
    <row r="168" spans="1:3">
      <c r="A168" s="93" t="e">
        <f>C1&amp;".E30.REM_NIB.UIBUS.DISB.OVR300"</f>
        <v>#N/A</v>
      </c>
      <c r="B168" s="14">
        <f>ROUND(PAGE4!$K$45,5)</f>
        <v>0</v>
      </c>
      <c r="C168" s="14">
        <f>ROUND(PAGE4!$M$45,5)</f>
        <v>0</v>
      </c>
    </row>
    <row r="169" spans="1:3">
      <c r="A169" s="93" t="e">
        <f>C1&amp;".E30.REM_NIB.UIBUS.OS.OVR300"</f>
        <v>#N/A</v>
      </c>
      <c r="B169" s="14">
        <f>ROUND(PAGE4!$O$45,5)</f>
        <v>0</v>
      </c>
      <c r="C169" s="14">
        <f>ROUND(PAGE4!$Q$45,5)</f>
        <v>0</v>
      </c>
    </row>
    <row r="170" spans="1:3">
      <c r="A170" s="94" t="e">
        <f>C1&amp;".E30.REM_NIB.UIBUS.APPR.TTL"</f>
        <v>#N/A</v>
      </c>
      <c r="B170" s="14">
        <f>ROUND(PAGE4!$G$41,5)</f>
        <v>0</v>
      </c>
      <c r="C170" s="14">
        <f>ROUND(PAGE4!$I$41,5)</f>
        <v>0</v>
      </c>
    </row>
    <row r="171" spans="1:3">
      <c r="A171" s="94" t="e">
        <f>C1&amp;".E30.REM_NIB.UIBUS.DISB.TTL"</f>
        <v>#N/A</v>
      </c>
      <c r="B171" s="14">
        <f>ROUND(PAGE4!$K$41,5)</f>
        <v>0</v>
      </c>
      <c r="C171" s="14">
        <f>ROUND(PAGE4!$M$41,5)</f>
        <v>0</v>
      </c>
    </row>
    <row r="172" spans="1:3">
      <c r="A172" s="94" t="e">
        <f>C1&amp;".E30.REM_NIB.UIBUS.OS.TTL"</f>
        <v>#N/A</v>
      </c>
      <c r="B172" s="14">
        <f>ROUND(PAGE4!$O$41,5)</f>
        <v>0</v>
      </c>
      <c r="C172" s="14">
        <f>ROUND(PAGE4!$Q$41,5)</f>
        <v>0</v>
      </c>
    </row>
    <row r="173" spans="1:3">
      <c r="A173" s="93" t="e">
        <f>C1&amp;".E30.REM_NIB.CONSM.APPR.LT100"</f>
        <v>#N/A</v>
      </c>
      <c r="B173" s="14">
        <f>ROUND(PAGE4!$G$48,5)</f>
        <v>0</v>
      </c>
      <c r="C173" s="14">
        <f>ROUND(PAGE4!$I$48,5)</f>
        <v>0</v>
      </c>
    </row>
    <row r="174" spans="1:3">
      <c r="A174" s="93" t="e">
        <f>C1&amp;".E30.REM_NIB.CONSM.DISB.LT100"</f>
        <v>#N/A</v>
      </c>
      <c r="B174" s="14">
        <f>ROUND(PAGE4!$K$48,5)</f>
        <v>0</v>
      </c>
      <c r="C174" s="14">
        <f>ROUND(PAGE4!$M$48,5)</f>
        <v>0</v>
      </c>
    </row>
    <row r="175" spans="1:3">
      <c r="A175" s="93" t="e">
        <f>C1&amp;".E30.REM_NIB.CONSM.OS.LT100"</f>
        <v>#N/A</v>
      </c>
      <c r="B175" s="14">
        <f>ROUND(PAGE4!$O$48,5)</f>
        <v>0</v>
      </c>
      <c r="C175" s="14">
        <f>ROUND(PAGE4!$Q$48,5)</f>
        <v>0</v>
      </c>
    </row>
    <row r="176" spans="1:3">
      <c r="A176" s="93" t="e">
        <f>C1&amp;".E30.REM_NIB.CONSM.APPR.100TO200"</f>
        <v>#N/A</v>
      </c>
      <c r="B176" s="14">
        <f>ROUND(PAGE4!$G$49,5)</f>
        <v>0</v>
      </c>
      <c r="C176" s="14">
        <f>ROUND(PAGE4!$I$49,5)</f>
        <v>0</v>
      </c>
    </row>
    <row r="177" spans="1:3">
      <c r="A177" s="93" t="e">
        <f>C1&amp;".E30.REM_NIB.CONSM.DISB.100TO200"</f>
        <v>#N/A</v>
      </c>
      <c r="B177" s="14">
        <f>ROUND(PAGE4!$K$49,5)</f>
        <v>0</v>
      </c>
      <c r="C177" s="14">
        <f>ROUND(PAGE4!$M$49,5)</f>
        <v>0</v>
      </c>
    </row>
    <row r="178" spans="1:3">
      <c r="A178" s="93" t="e">
        <f>C1&amp;".E30.REM_NIB.CONSM.OS.100TO200"</f>
        <v>#N/A</v>
      </c>
      <c r="B178" s="14">
        <f>ROUND(PAGE4!$O$49,5)</f>
        <v>0</v>
      </c>
      <c r="C178" s="14">
        <f>ROUND(PAGE4!$Q$49,5)</f>
        <v>0</v>
      </c>
    </row>
    <row r="179" spans="1:3">
      <c r="A179" s="93" t="e">
        <f>C1&amp;".E30.REM_NIB.CONSM.APPR.200TO300"</f>
        <v>#N/A</v>
      </c>
      <c r="B179" s="14">
        <f>ROUND(PAGE4!$G$50,5)</f>
        <v>0</v>
      </c>
      <c r="C179" s="14">
        <f>ROUND(PAGE4!$I$50,5)</f>
        <v>0</v>
      </c>
    </row>
    <row r="180" spans="1:3">
      <c r="A180" s="93" t="e">
        <f>C1&amp;".E30.REM_NIB.CONSM.DISB.200TO300"</f>
        <v>#N/A</v>
      </c>
      <c r="B180" s="14">
        <f>ROUND(PAGE4!$K$50,5)</f>
        <v>0</v>
      </c>
      <c r="C180" s="14">
        <f>ROUND(PAGE4!$M$50,5)</f>
        <v>0</v>
      </c>
    </row>
    <row r="181" spans="1:3">
      <c r="A181" s="93" t="e">
        <f>C1&amp;".E30.REM_NIB.CONSM.OS.200TO300"</f>
        <v>#N/A</v>
      </c>
      <c r="B181" s="14">
        <f>ROUND(PAGE4!$O$50,5)</f>
        <v>0</v>
      </c>
      <c r="C181" s="14">
        <f>ROUND(PAGE4!$Q$50,5)</f>
        <v>0</v>
      </c>
    </row>
    <row r="182" spans="1:3">
      <c r="A182" s="93" t="e">
        <f>C1&amp;".E30.REM_NIB.CONSM.APPR.OVR300"</f>
        <v>#N/A</v>
      </c>
      <c r="B182" s="14">
        <f>ROUND(PAGE4!$G$51,5)</f>
        <v>0</v>
      </c>
      <c r="C182" s="14">
        <f>ROUND(PAGE4!$I$51,5)</f>
        <v>0</v>
      </c>
    </row>
    <row r="183" spans="1:3">
      <c r="A183" s="93" t="e">
        <f>C1&amp;".E30.REM_NIB.CONSM.DISB.OVR300"</f>
        <v>#N/A</v>
      </c>
      <c r="B183" s="14">
        <f>ROUND(PAGE4!$K$51,5)</f>
        <v>0</v>
      </c>
      <c r="C183" s="14">
        <f>ROUND(PAGE4!$M$51,5)</f>
        <v>0</v>
      </c>
    </row>
    <row r="184" spans="1:3">
      <c r="A184" s="93" t="e">
        <f>C1&amp;".E30.REM_NIB.CONSM.OS.OVR300"</f>
        <v>#N/A</v>
      </c>
      <c r="B184" s="14">
        <f>ROUND(PAGE4!$O$51,5)</f>
        <v>0</v>
      </c>
      <c r="C184" s="14">
        <f>ROUND(PAGE4!$Q$51,5)</f>
        <v>0</v>
      </c>
    </row>
    <row r="185" spans="1:3">
      <c r="A185" s="94" t="e">
        <f>C1&amp;".E30.REM_NIB.CONSM.APPR.TTL"</f>
        <v>#N/A</v>
      </c>
      <c r="B185" s="14">
        <f>ROUND(PAGE4!$G$47,5)</f>
        <v>0</v>
      </c>
      <c r="C185" s="14">
        <f>ROUND(PAGE4!$I$47,5)</f>
        <v>0</v>
      </c>
    </row>
    <row r="186" spans="1:3">
      <c r="A186" s="94" t="e">
        <f>C1&amp;".E30.REM_NIB.CONSM.DISB.TTL"</f>
        <v>#N/A</v>
      </c>
      <c r="B186" s="14">
        <f>ROUND(PAGE4!$K$47,5)</f>
        <v>0</v>
      </c>
      <c r="C186" s="14">
        <f>ROUND(PAGE4!$M$47,5)</f>
        <v>0</v>
      </c>
    </row>
    <row r="187" spans="1:3">
      <c r="A187" s="94" t="e">
        <f>C1&amp;".E30.REM_NIB.CONSM.OS.TTL"</f>
        <v>#N/A</v>
      </c>
      <c r="B187" s="14">
        <f>ROUND(PAGE4!$O$47,5)</f>
        <v>0</v>
      </c>
      <c r="C187" s="14">
        <f>ROUND(PAGE4!$Q$47,5)</f>
        <v>0</v>
      </c>
    </row>
    <row r="188" spans="1:3">
      <c r="A188" s="106" t="e">
        <f>C1&amp;".E30.REM_NIB.SAS.APPR.TTL"</f>
        <v>#N/A</v>
      </c>
      <c r="B188" s="14">
        <f>ROUND(PAGE4!$G$53,5)</f>
        <v>0</v>
      </c>
      <c r="C188" s="14">
        <f>ROUND(PAGE4!$I$53,5)</f>
        <v>0</v>
      </c>
    </row>
    <row r="189" spans="1:3">
      <c r="A189" s="106" t="e">
        <f>C1&amp;".E30.REM_NIB.SAS.DISB.TTL"</f>
        <v>#N/A</v>
      </c>
      <c r="B189" s="14">
        <f>ROUND(PAGE4!$K$53,5)</f>
        <v>0</v>
      </c>
      <c r="C189" s="14">
        <f>ROUND(PAGE4!$M$53,5)</f>
        <v>0</v>
      </c>
    </row>
    <row r="190" spans="1:3">
      <c r="A190" s="106" t="e">
        <f>C1&amp;".E30.REM_NIB.SAS.OS.TTL"</f>
        <v>#N/A</v>
      </c>
      <c r="B190" s="14">
        <f>ROUND(PAGE4!$O$53,5)</f>
        <v>0</v>
      </c>
      <c r="C190" s="14">
        <f>ROUND(PAGE4!$Q$53,5)</f>
        <v>0</v>
      </c>
    </row>
    <row r="191" spans="1:3">
      <c r="A191" s="93" t="e">
        <f>C1&amp;".E30.REM_NIB.RENOV.APPR."</f>
        <v>#N/A</v>
      </c>
      <c r="B191" s="14">
        <f>ROUND(PAGE4!$G$59,5)</f>
        <v>0</v>
      </c>
      <c r="C191" s="14">
        <f>ROUND(PAGE4!$I$59,5)</f>
        <v>0</v>
      </c>
    </row>
    <row r="192" spans="1:3">
      <c r="A192" s="93" t="e">
        <f>C1&amp;".E30.REM_NIB.RENOV.DISB."</f>
        <v>#N/A</v>
      </c>
      <c r="B192" s="14">
        <f>ROUND(PAGE4!$K$59,5)</f>
        <v>0</v>
      </c>
      <c r="C192" s="14">
        <f>ROUND(PAGE4!$M$59,5)</f>
        <v>0</v>
      </c>
    </row>
    <row r="193" spans="1:3">
      <c r="A193" s="93" t="e">
        <f>C1&amp;".E30.REM_NIB.RENOV.OS."</f>
        <v>#N/A</v>
      </c>
      <c r="B193" s="14">
        <f>ROUND(PAGE4!$O$59,5)</f>
        <v>0</v>
      </c>
      <c r="C193" s="14">
        <f>ROUND(PAGE4!$Q$59,5)</f>
        <v>0</v>
      </c>
    </row>
    <row r="194" spans="1:3">
      <c r="A194" s="93" t="e">
        <f>C1&amp;".E30.REM_NIB.NEW_HOUSE.APPR."</f>
        <v>#N/A</v>
      </c>
      <c r="B194" s="14">
        <f>ROUND(PAGE4!$G$62,5)</f>
        <v>0</v>
      </c>
      <c r="C194" s="14">
        <f>ROUND(PAGE4!$I$62,5)</f>
        <v>0</v>
      </c>
    </row>
    <row r="195" spans="1:3">
      <c r="A195" s="93" t="e">
        <f>C1&amp;".E30.REM_NIB.NEW_HOUSE.DISB."</f>
        <v>#N/A</v>
      </c>
      <c r="B195" s="14">
        <f>ROUND(PAGE4!$K$62,5)</f>
        <v>0</v>
      </c>
      <c r="C195" s="14">
        <f>ROUND(PAGE4!$M$62,5)</f>
        <v>0</v>
      </c>
    </row>
    <row r="196" spans="1:3">
      <c r="A196" s="93" t="e">
        <f>C1&amp;".E30.REM_NIB.NEW_HOUSE.OS."</f>
        <v>#N/A</v>
      </c>
      <c r="B196" s="14">
        <f>ROUND(PAGE4!$O$62,5)</f>
        <v>0</v>
      </c>
      <c r="C196" s="14">
        <f>ROUND(PAGE4!$Q$62,5)</f>
        <v>0</v>
      </c>
    </row>
    <row r="197" spans="1:3">
      <c r="A197" s="93" t="e">
        <f>C1&amp;".E30.REM_NIB.EXIST_HOUSE.APPR."</f>
        <v>#N/A</v>
      </c>
      <c r="B197" s="14">
        <f>ROUND(PAGE4!$G$65,5)</f>
        <v>0</v>
      </c>
      <c r="C197" s="14">
        <f>ROUND(PAGE4!$I$65,5)</f>
        <v>0</v>
      </c>
    </row>
    <row r="198" spans="1:3">
      <c r="A198" s="93" t="e">
        <f>C1&amp;".E30.REM_NIB.EXIST_HOUSE.DISB."</f>
        <v>#N/A</v>
      </c>
      <c r="B198" s="14">
        <f>ROUND(PAGE4!$K$65,5)</f>
        <v>0</v>
      </c>
      <c r="C198" s="14">
        <f>ROUND(PAGE4!$M$65,5)</f>
        <v>0</v>
      </c>
    </row>
    <row r="199" spans="1:3">
      <c r="A199" s="93" t="e">
        <f>C1&amp;".E30.REM_NIB.EXIST_HOUSE.OS."</f>
        <v>#N/A</v>
      </c>
      <c r="B199" s="14">
        <f>ROUND(PAGE4!$O$65,5)</f>
        <v>0</v>
      </c>
      <c r="C199" s="14">
        <f>ROUND(PAGE4!$Q$65,5)</f>
        <v>0</v>
      </c>
    </row>
    <row r="200" spans="1:3">
      <c r="A200" s="93" t="e">
        <f>C1&amp;".E30.REM_NIB.LAND.APPR."</f>
        <v>#N/A</v>
      </c>
      <c r="B200" s="14">
        <f>ROUND(PAGE4!$G$67,5)</f>
        <v>0</v>
      </c>
      <c r="C200" s="14">
        <f>ROUND(PAGE4!$I$67,5)</f>
        <v>0</v>
      </c>
    </row>
    <row r="201" spans="1:3">
      <c r="A201" s="93" t="e">
        <f>C1&amp;".E30.REM_NIB.LAND.DISB."</f>
        <v>#N/A</v>
      </c>
      <c r="B201" s="14">
        <f>ROUND(PAGE4!$K$67,5)</f>
        <v>0</v>
      </c>
      <c r="C201" s="14">
        <f>ROUND(PAGE4!$M$67,5)</f>
        <v>0</v>
      </c>
    </row>
    <row r="202" spans="1:3">
      <c r="A202" s="93" t="e">
        <f>C1&amp;".E30.REM_NIB.LAND.OS."</f>
        <v>#N/A</v>
      </c>
      <c r="B202" s="14">
        <f>ROUND(PAGE4!$O$67,5)</f>
        <v>0</v>
      </c>
      <c r="C202" s="14">
        <f>ROUND(PAGE4!$Q$67,5)</f>
        <v>0</v>
      </c>
    </row>
    <row r="203" spans="1:3">
      <c r="A203" s="93" t="e">
        <f>C1&amp;".E30.REM_NIB.OTHER.APPR."</f>
        <v>#N/A</v>
      </c>
      <c r="B203" s="14">
        <f>ROUND(PAGE4!$G$69,5)</f>
        <v>0</v>
      </c>
      <c r="C203" s="14">
        <f>ROUND(PAGE4!$I$69,5)</f>
        <v>0</v>
      </c>
    </row>
    <row r="204" spans="1:3">
      <c r="A204" s="93" t="e">
        <f>C1&amp;".E30.REM_NIB.OTHER.DISB."</f>
        <v>#N/A</v>
      </c>
      <c r="B204" s="14">
        <f>ROUND(PAGE4!$K$69,5)</f>
        <v>0</v>
      </c>
      <c r="C204" s="14">
        <f>ROUND(PAGE4!$M$69,5)</f>
        <v>0</v>
      </c>
    </row>
    <row r="205" spans="1:3">
      <c r="A205" s="93" t="e">
        <f>C1&amp;".E30.REM_NIB.OTHER.OS."</f>
        <v>#N/A</v>
      </c>
      <c r="B205" s="14">
        <f>ROUND(PAGE4!$O$69,5)</f>
        <v>0</v>
      </c>
      <c r="C205" s="14">
        <f>ROUND(PAGE4!$Q$69,5)</f>
        <v>0</v>
      </c>
    </row>
    <row r="206" spans="1:3">
      <c r="A206" s="106" t="e">
        <f>C1&amp;".E30.REM_NIB.PURP.APPR.TTL"</f>
        <v>#N/A</v>
      </c>
      <c r="B206" s="14">
        <f>ROUND(PAGE4!$G$71,5)</f>
        <v>0</v>
      </c>
      <c r="C206" s="14">
        <f>ROUND(PAGE4!$I$71,5)</f>
        <v>0</v>
      </c>
    </row>
    <row r="207" spans="1:3">
      <c r="A207" s="106" t="e">
        <f>C1&amp;".E30.REM_NIB.PURP.DISB.TTL"</f>
        <v>#N/A</v>
      </c>
      <c r="B207" s="14">
        <f>ROUND(PAGE4!$K$71,5)</f>
        <v>0</v>
      </c>
      <c r="C207" s="14">
        <f>ROUND(PAGE4!$M$71,5)</f>
        <v>0</v>
      </c>
    </row>
    <row r="208" spans="1:3">
      <c r="A208" s="106" t="e">
        <f>C1&amp;".E30.REM_NIB.PURP.OS.TTL"</f>
        <v>#N/A</v>
      </c>
      <c r="B208" s="14">
        <f>ROUND(PAGE4!$O$71,5)</f>
        <v>0</v>
      </c>
      <c r="C208" s="14">
        <f>ROUND(PAGE4!$Q$71,5)</f>
        <v>0</v>
      </c>
    </row>
    <row r="209" spans="1:3">
      <c r="A209" s="92" t="s">
        <v>423</v>
      </c>
      <c r="B209" s="14" t="s">
        <v>415</v>
      </c>
      <c r="C209" s="14"/>
    </row>
    <row r="210" spans="1:3">
      <c r="A210" s="93" t="e">
        <f>C1&amp;".E30.REM_NIB.LN_APP.REC.RES"</f>
        <v>#N/A</v>
      </c>
      <c r="B210" s="14">
        <f>ROUND(PAGE4!$C$75,5)</f>
        <v>0</v>
      </c>
      <c r="C210" s="14"/>
    </row>
    <row r="211" spans="1:3">
      <c r="A211" s="93" t="e">
        <f>C1&amp;".E30.REM_NIB.LN_APP.REC.NRES"</f>
        <v>#N/A</v>
      </c>
      <c r="B211" s="14">
        <f>ROUND(PAGE4!$C$77,5)</f>
        <v>0</v>
      </c>
      <c r="C211" s="14"/>
    </row>
    <row r="212" spans="1:3">
      <c r="A212" s="92" t="s">
        <v>424</v>
      </c>
      <c r="B212" s="14" t="s">
        <v>415</v>
      </c>
      <c r="C212" s="14" t="s">
        <v>416</v>
      </c>
    </row>
    <row r="213" spans="1:3">
      <c r="A213" s="93" t="e">
        <f>C1&amp;".E30.REM_NHA.PBSEC.APPR.LT50"</f>
        <v>#N/A</v>
      </c>
      <c r="B213" s="14">
        <f>ROUND(PAGE5!$G$22,5)</f>
        <v>0</v>
      </c>
      <c r="C213" s="14">
        <f>ROUND(PAGE5!$I$22,5)</f>
        <v>0</v>
      </c>
    </row>
    <row r="214" spans="1:3">
      <c r="A214" s="93" t="e">
        <f>C1&amp;".E30.REM_NHA.PBSEC.DISB.LT50"</f>
        <v>#N/A</v>
      </c>
      <c r="B214" s="14">
        <f>ROUND(PAGE5!$K$22,5)</f>
        <v>0</v>
      </c>
      <c r="C214" s="14">
        <f>ROUND(PAGE5!$M$22,5)</f>
        <v>0</v>
      </c>
    </row>
    <row r="215" spans="1:3">
      <c r="A215" s="93" t="e">
        <f>C1&amp;".E30.REM_NHA.PBSEC.OS.LT50"</f>
        <v>#N/A</v>
      </c>
      <c r="B215" s="14">
        <f>ROUND(PAGE5!$O$22,5)</f>
        <v>0</v>
      </c>
      <c r="C215" s="14">
        <f>ROUND(PAGE5!$Q$22,5)</f>
        <v>0</v>
      </c>
    </row>
    <row r="216" spans="1:3">
      <c r="A216" s="93" t="e">
        <f>C1&amp;".E30.REM_NHA.PBSEC.APPR.50TO100"</f>
        <v>#N/A</v>
      </c>
      <c r="B216" s="14">
        <f>ROUND(PAGE5!$G$23,5)</f>
        <v>0</v>
      </c>
      <c r="C216" s="14">
        <f>ROUND(PAGE5!$I$23,5)</f>
        <v>0</v>
      </c>
    </row>
    <row r="217" spans="1:3">
      <c r="A217" s="93" t="e">
        <f>C1&amp;".E30.REM_NHA.PBSEC.DISB.50TO100"</f>
        <v>#N/A</v>
      </c>
      <c r="B217" s="14">
        <f>ROUND(PAGE5!$K$23,5)</f>
        <v>0</v>
      </c>
      <c r="C217" s="14">
        <f>ROUND(PAGE5!$M$23,5)</f>
        <v>0</v>
      </c>
    </row>
    <row r="218" spans="1:3">
      <c r="A218" s="93" t="e">
        <f>C1&amp;".E30.REM_NHA.PBSEC.OS.50TO100"</f>
        <v>#N/A</v>
      </c>
      <c r="B218" s="14">
        <f>ROUND(PAGE5!$O$23,5)</f>
        <v>0</v>
      </c>
      <c r="C218" s="14">
        <f>ROUND(PAGE5!$Q$23,5)</f>
        <v>0</v>
      </c>
    </row>
    <row r="219" spans="1:3">
      <c r="A219" s="94" t="e">
        <f>C1&amp;".E30.REM_NHA.PBSEC.APPR.TTL"</f>
        <v>#N/A</v>
      </c>
      <c r="B219" s="14">
        <f>ROUND(PAGE5!$G$21,5)</f>
        <v>0</v>
      </c>
      <c r="C219" s="14">
        <f>ROUND(PAGE5!$I$21,5)</f>
        <v>0</v>
      </c>
    </row>
    <row r="220" spans="1:3">
      <c r="A220" s="94" t="e">
        <f>C1&amp;".E30.REM_NHA.PBSEC.DISB.TTL"</f>
        <v>#N/A</v>
      </c>
      <c r="B220" s="14">
        <f>ROUND(PAGE5!$K$21,5)</f>
        <v>0</v>
      </c>
      <c r="C220" s="14">
        <f>ROUND(PAGE5!$M$21,5)</f>
        <v>0</v>
      </c>
    </row>
    <row r="221" spans="1:3">
      <c r="A221" s="94" t="e">
        <f>C1&amp;".E30.REM_NHA.PBSEC.OS.TTL"</f>
        <v>#N/A</v>
      </c>
      <c r="B221" s="14">
        <f>ROUND(PAGE5!$O$21,5)</f>
        <v>0</v>
      </c>
      <c r="C221" s="14">
        <f>ROUND(PAGE5!$Q$21,5)</f>
        <v>0</v>
      </c>
    </row>
    <row r="222" spans="1:3">
      <c r="A222" s="93" t="e">
        <f>C1&amp;".E30.REM_NHA.PVFIN.APPR.LT50"</f>
        <v>#N/A</v>
      </c>
      <c r="B222" s="14">
        <f>ROUND(PAGE5!$G$27,5)</f>
        <v>0</v>
      </c>
      <c r="C222" s="14">
        <f>ROUND(PAGE5!$I$27,5)</f>
        <v>0</v>
      </c>
    </row>
    <row r="223" spans="1:3">
      <c r="A223" s="93" t="e">
        <f>C1&amp;".E30.REM_NHA.PVFIN.DISB.LT50"</f>
        <v>#N/A</v>
      </c>
      <c r="B223" s="14">
        <f>ROUND(PAGE5!$K$27,5)</f>
        <v>0</v>
      </c>
      <c r="C223" s="14">
        <f>ROUND(PAGE5!$M$27,5)</f>
        <v>0</v>
      </c>
    </row>
    <row r="224" spans="1:3">
      <c r="A224" s="93" t="e">
        <f>C1&amp;".E30.REM_NHA.PVFIN.OS.LT50"</f>
        <v>#N/A</v>
      </c>
      <c r="B224" s="14">
        <f>ROUND(PAGE5!$O$27,5)</f>
        <v>0</v>
      </c>
      <c r="C224" s="14">
        <f>ROUND(PAGE5!$Q$27,5)</f>
        <v>0</v>
      </c>
    </row>
    <row r="225" spans="1:3">
      <c r="A225" s="93" t="e">
        <f>C1&amp;".E30.REM_NHA.PVFIN.APPR.50TO100"</f>
        <v>#N/A</v>
      </c>
      <c r="B225" s="14">
        <f>ROUND(PAGE5!$G$28,5)</f>
        <v>0</v>
      </c>
      <c r="C225" s="14">
        <f>ROUND(PAGE5!$I$28,5)</f>
        <v>0</v>
      </c>
    </row>
    <row r="226" spans="1:3">
      <c r="A226" s="93" t="e">
        <f>C1&amp;".E30.REM_NHA.PVFIN.DISB.50TO100"</f>
        <v>#N/A</v>
      </c>
      <c r="B226" s="14">
        <f>ROUND(PAGE5!$K$28,5)</f>
        <v>0</v>
      </c>
      <c r="C226" s="14">
        <f>ROUND(PAGE5!$M$28,5)</f>
        <v>0</v>
      </c>
    </row>
    <row r="227" spans="1:3">
      <c r="A227" s="93" t="e">
        <f>C1&amp;".E30.REM_NHA.PVFIN.OS.50TO100"</f>
        <v>#N/A</v>
      </c>
      <c r="B227" s="14">
        <f>ROUND(PAGE5!$O$28,5)</f>
        <v>0</v>
      </c>
      <c r="C227" s="14">
        <f>ROUND(PAGE5!$Q$28,5)</f>
        <v>0</v>
      </c>
    </row>
    <row r="228" spans="1:3">
      <c r="A228" s="94" t="e">
        <f>C1&amp;".E30.REM_NHA.PVFIN.APPR.TTL"</f>
        <v>#N/A</v>
      </c>
      <c r="B228" s="14">
        <f>ROUND(PAGE5!$G$26,5)</f>
        <v>0</v>
      </c>
      <c r="C228" s="14">
        <f>ROUND(PAGE5!$I$26,5)</f>
        <v>0</v>
      </c>
    </row>
    <row r="229" spans="1:3">
      <c r="A229" s="94" t="e">
        <f>C1&amp;".E30.REM_NHA.PVFIN.DISB.TTL"</f>
        <v>#N/A</v>
      </c>
      <c r="B229" s="14">
        <f>ROUND(PAGE5!$K$26,5)</f>
        <v>0</v>
      </c>
      <c r="C229" s="14">
        <f>ROUND(PAGE5!$M$26,5)</f>
        <v>0</v>
      </c>
    </row>
    <row r="230" spans="1:3">
      <c r="A230" s="94" t="e">
        <f>C1&amp;".E30.REM_NHA.PVFIN.OS.TTL"</f>
        <v>#N/A</v>
      </c>
      <c r="B230" s="14">
        <f>ROUND(PAGE5!$O$26,5)</f>
        <v>0</v>
      </c>
      <c r="C230" s="14">
        <f>ROUND(PAGE5!$Q$26,5)</f>
        <v>0</v>
      </c>
    </row>
    <row r="231" spans="1:3">
      <c r="A231" s="93" t="e">
        <f>C1&amp;".E30.REM_NHA.IBUS.APPR.LT50"</f>
        <v>#N/A</v>
      </c>
      <c r="B231" s="14">
        <f>ROUND(PAGE5!$G$32,5)</f>
        <v>0</v>
      </c>
      <c r="C231" s="14">
        <f>ROUND(PAGE5!$I$32,5)</f>
        <v>0</v>
      </c>
    </row>
    <row r="232" spans="1:3">
      <c r="A232" s="93" t="e">
        <f>C1&amp;".E30.REM_NHA.IBUS.DISB.LT50"</f>
        <v>#N/A</v>
      </c>
      <c r="B232" s="14">
        <f>ROUND(PAGE5!$K$32,5)</f>
        <v>0</v>
      </c>
      <c r="C232" s="14">
        <f>ROUND(PAGE5!$M$32,5)</f>
        <v>0</v>
      </c>
    </row>
    <row r="233" spans="1:3">
      <c r="A233" s="93" t="e">
        <f>C1&amp;".E30.REM_NHA.IBUS.OS.LT50"</f>
        <v>#N/A</v>
      </c>
      <c r="B233" s="14">
        <f>ROUND(PAGE5!$O$32,5)</f>
        <v>0</v>
      </c>
      <c r="C233" s="14">
        <f>ROUND(PAGE5!$Q$32,5)</f>
        <v>0</v>
      </c>
    </row>
    <row r="234" spans="1:3">
      <c r="A234" s="93" t="e">
        <f>C1&amp;".E30.REM_NHA.IBUS.APPR.50TO100"</f>
        <v>#N/A</v>
      </c>
      <c r="B234" s="14">
        <f>ROUND(PAGE5!$G$33,5)</f>
        <v>0</v>
      </c>
      <c r="C234" s="14">
        <f>ROUND(PAGE5!$I$33,5)</f>
        <v>0</v>
      </c>
    </row>
    <row r="235" spans="1:3">
      <c r="A235" s="93" t="e">
        <f>C1&amp;".E30.REM_NHA.IBUS.DISB.50TO100"</f>
        <v>#N/A</v>
      </c>
      <c r="B235" s="14">
        <f>ROUND(PAGE5!$K$33,5)</f>
        <v>0</v>
      </c>
      <c r="C235" s="14">
        <f>ROUND(PAGE5!$M$33,5)</f>
        <v>0</v>
      </c>
    </row>
    <row r="236" spans="1:3">
      <c r="A236" s="93" t="e">
        <f>C1&amp;".E30.REM_NHA.IBUS.OS.50TO100"</f>
        <v>#N/A</v>
      </c>
      <c r="B236" s="14">
        <f>ROUND(PAGE5!$O$33,5)</f>
        <v>0</v>
      </c>
      <c r="C236" s="14">
        <f>ROUND(PAGE5!$Q$33,5)</f>
        <v>0</v>
      </c>
    </row>
    <row r="237" spans="1:3">
      <c r="A237" s="94" t="e">
        <f>C1&amp;".E30.REM_NHA.IBUS.APPR.TTL"</f>
        <v>#N/A</v>
      </c>
      <c r="B237" s="14">
        <f>ROUND(PAGE5!$G$31,5)</f>
        <v>0</v>
      </c>
      <c r="C237" s="14">
        <f>ROUND(PAGE5!$I$31,5)</f>
        <v>0</v>
      </c>
    </row>
    <row r="238" spans="1:3">
      <c r="A238" s="94" t="e">
        <f>C1&amp;".E30.REM_NHA.IBUS.DISB.TTL"</f>
        <v>#N/A</v>
      </c>
      <c r="B238" s="14">
        <f>ROUND(PAGE5!$K$31,5)</f>
        <v>0</v>
      </c>
      <c r="C238" s="14">
        <f>ROUND(PAGE5!$M$31,5)</f>
        <v>0</v>
      </c>
    </row>
    <row r="239" spans="1:3">
      <c r="A239" s="94" t="e">
        <f>C1&amp;".E30.REM_NHA.IBUS.OS.TTL"</f>
        <v>#N/A</v>
      </c>
      <c r="B239" s="14">
        <f>ROUND(PAGE5!$O$31,5)</f>
        <v>0</v>
      </c>
      <c r="C239" s="14">
        <f>ROUND(PAGE5!$Q$31,5)</f>
        <v>0</v>
      </c>
    </row>
    <row r="240" spans="1:3">
      <c r="A240" s="93" t="e">
        <f>C1&amp;".E30.REM_NHA.UIBUS.APPR.LT50"</f>
        <v>#N/A</v>
      </c>
      <c r="B240" s="14">
        <f>ROUND(PAGE5!$G$37,5)</f>
        <v>0</v>
      </c>
      <c r="C240" s="14">
        <f>ROUND(PAGE5!$I$37,5)</f>
        <v>0</v>
      </c>
    </row>
    <row r="241" spans="1:3">
      <c r="A241" s="93" t="e">
        <f>C1&amp;".E30.REM_NHA.UIBUS.DISB.LT50"</f>
        <v>#N/A</v>
      </c>
      <c r="B241" s="14">
        <f>ROUND(PAGE5!$K$37,5)</f>
        <v>0</v>
      </c>
      <c r="C241" s="14">
        <f>ROUND(PAGE5!$M$37,5)</f>
        <v>0</v>
      </c>
    </row>
    <row r="242" spans="1:3">
      <c r="A242" s="93" t="e">
        <f>C1&amp;".E30.REM_NHA.UIBUS.OS.LT50"</f>
        <v>#N/A</v>
      </c>
      <c r="B242" s="14">
        <f>ROUND(PAGE5!$O$37,5)</f>
        <v>0</v>
      </c>
      <c r="C242" s="14">
        <f>ROUND(PAGE5!$Q$37,5)</f>
        <v>0</v>
      </c>
    </row>
    <row r="243" spans="1:3">
      <c r="A243" s="93" t="e">
        <f>C1&amp;".E30.REM_NHA.UIBUS.APPR.50TO100"</f>
        <v>#N/A</v>
      </c>
      <c r="B243" s="14">
        <f>ROUND(PAGE5!$G$38,5)</f>
        <v>0</v>
      </c>
      <c r="C243" s="14">
        <f>ROUND(PAGE5!$I$38,5)</f>
        <v>0</v>
      </c>
    </row>
    <row r="244" spans="1:3">
      <c r="A244" s="93" t="e">
        <f>C1&amp;".E30.REM_NHA.UIBUS.DISB.50TO100"</f>
        <v>#N/A</v>
      </c>
      <c r="B244" s="14">
        <f>ROUND(PAGE5!$K$38,5)</f>
        <v>0</v>
      </c>
      <c r="C244" s="14">
        <f>ROUND(PAGE5!$M$38,5)</f>
        <v>0</v>
      </c>
    </row>
    <row r="245" spans="1:3">
      <c r="A245" s="93" t="e">
        <f>C1&amp;".E30.REM_NHA.UIBUS.OS.50TO100"</f>
        <v>#N/A</v>
      </c>
      <c r="B245" s="14">
        <f>ROUND(PAGE5!$O$38,5)</f>
        <v>0</v>
      </c>
      <c r="C245" s="14">
        <f>ROUND(PAGE5!$Q$38,5)</f>
        <v>0</v>
      </c>
    </row>
    <row r="246" spans="1:3">
      <c r="A246" s="94" t="e">
        <f>C1&amp;".E30.REM_NHA.UIBUS.APPR.TTL"</f>
        <v>#N/A</v>
      </c>
      <c r="B246" s="14">
        <f>ROUND(PAGE5!$G$36,5)</f>
        <v>0</v>
      </c>
      <c r="C246" s="14">
        <f>ROUND(PAGE5!$I$36,5)</f>
        <v>0</v>
      </c>
    </row>
    <row r="247" spans="1:3">
      <c r="A247" s="94" t="e">
        <f>C1&amp;".E30.REM_NHA.UIBUS.DISB.TTL"</f>
        <v>#N/A</v>
      </c>
      <c r="B247" s="14">
        <f>ROUND(PAGE5!$K$36,5)</f>
        <v>0</v>
      </c>
      <c r="C247" s="14">
        <f>ROUND(PAGE5!$M$36,5)</f>
        <v>0</v>
      </c>
    </row>
    <row r="248" spans="1:3">
      <c r="A248" s="94" t="e">
        <f>C1&amp;".E30.REM_NHA.UIBUS.OS.TTL"</f>
        <v>#N/A</v>
      </c>
      <c r="B248" s="14">
        <f>ROUND(PAGE5!$O$36,5)</f>
        <v>0</v>
      </c>
      <c r="C248" s="14">
        <f>ROUND(PAGE5!$Q$36,5)</f>
        <v>0</v>
      </c>
    </row>
    <row r="249" spans="1:3">
      <c r="A249" s="93" t="e">
        <f>C1&amp;".E30.REM_NHA.CONSM.APPR.LT50"</f>
        <v>#N/A</v>
      </c>
      <c r="B249" s="14">
        <f>ROUND(PAGE5!$G$41,5)</f>
        <v>0</v>
      </c>
      <c r="C249" s="14">
        <f>ROUND(PAGE5!$I$41,5)</f>
        <v>0</v>
      </c>
    </row>
    <row r="250" spans="1:3">
      <c r="A250" s="93" t="e">
        <f>C1&amp;".E30.REM_NHA.CONSM.DISB.LT50"</f>
        <v>#N/A</v>
      </c>
      <c r="B250" s="14">
        <f>ROUND(PAGE5!$K$41,5)</f>
        <v>0</v>
      </c>
      <c r="C250" s="14">
        <f>ROUND(PAGE5!$M$41,5)</f>
        <v>0</v>
      </c>
    </row>
    <row r="251" spans="1:3">
      <c r="A251" s="93" t="e">
        <f>C1&amp;".E30.REM_NHA.CONSM.OS.LT50"</f>
        <v>#N/A</v>
      </c>
      <c r="B251" s="14">
        <f>ROUND(PAGE5!$O$41,5)</f>
        <v>0</v>
      </c>
      <c r="C251" s="14">
        <f>ROUND(PAGE5!$Q$41,5)</f>
        <v>0</v>
      </c>
    </row>
    <row r="252" spans="1:3">
      <c r="A252" s="93" t="e">
        <f>C1&amp;".E30.REM_NHA.CONSM.APPR.50TO100"</f>
        <v>#N/A</v>
      </c>
      <c r="B252" s="14">
        <f>ROUND(PAGE5!$G$42,5)</f>
        <v>0</v>
      </c>
      <c r="C252" s="14">
        <f>ROUND(PAGE5!$I$42,5)</f>
        <v>0</v>
      </c>
    </row>
    <row r="253" spans="1:3">
      <c r="A253" s="93" t="e">
        <f>C1&amp;".E30.REM_NHA.CONSM.DISB.50TO100"</f>
        <v>#N/A</v>
      </c>
      <c r="B253" s="14">
        <f>ROUND(PAGE5!$K$42,5)</f>
        <v>0</v>
      </c>
      <c r="C253" s="14">
        <f>ROUND(PAGE5!$M$42,5)</f>
        <v>0</v>
      </c>
    </row>
    <row r="254" spans="1:3">
      <c r="A254" s="93" t="e">
        <f>C1&amp;".E30.REM_NHA.CONSM.OS.50TO100"</f>
        <v>#N/A</v>
      </c>
      <c r="B254" s="14">
        <f>ROUND(PAGE5!$O$42,5)</f>
        <v>0</v>
      </c>
      <c r="C254" s="14">
        <f>ROUND(PAGE5!$Q$42,5)</f>
        <v>0</v>
      </c>
    </row>
    <row r="255" spans="1:3">
      <c r="A255" s="94" t="e">
        <f>C1&amp;".E30.REM_NHA.CONSM.APPR.TTL"</f>
        <v>#N/A</v>
      </c>
      <c r="B255" s="14">
        <f>ROUND(PAGE5!$G$40,5)</f>
        <v>0</v>
      </c>
      <c r="C255" s="14">
        <f>ROUND(PAGE5!$I$40,5)</f>
        <v>0</v>
      </c>
    </row>
    <row r="256" spans="1:3">
      <c r="A256" s="94" t="e">
        <f>C1&amp;".E30.REM_NHA.CONSM.DISB.TTL"</f>
        <v>#N/A</v>
      </c>
      <c r="B256" s="14">
        <f>ROUND(PAGE5!$K$40,5)</f>
        <v>0</v>
      </c>
      <c r="C256" s="14">
        <f>ROUND(PAGE5!$M$40,5)</f>
        <v>0</v>
      </c>
    </row>
    <row r="257" spans="1:3">
      <c r="A257" s="94" t="e">
        <f>C1&amp;".E30.REM_NHA.CONSM.OS.TTL"</f>
        <v>#N/A</v>
      </c>
      <c r="B257" s="14">
        <f>ROUND(PAGE5!$O$40,5)</f>
        <v>0</v>
      </c>
      <c r="C257" s="14">
        <f>ROUND(PAGE5!$Q$40,5)</f>
        <v>0</v>
      </c>
    </row>
    <row r="258" spans="1:3">
      <c r="A258" s="106" t="e">
        <f>C1&amp;".E30.REM_NHA.SAS.APPR.TTL"</f>
        <v>#N/A</v>
      </c>
      <c r="B258" s="14">
        <f>ROUND(PAGE5!$G$44,5)</f>
        <v>0</v>
      </c>
      <c r="C258" s="14">
        <f>ROUND(PAGE5!$I$44,5)</f>
        <v>0</v>
      </c>
    </row>
    <row r="259" spans="1:3">
      <c r="A259" s="106" t="e">
        <f>C1&amp;".E30.REM_NHA.SAS.DISB.TTL"</f>
        <v>#N/A</v>
      </c>
      <c r="B259" s="14">
        <f>ROUND(PAGE5!$K$44,5)</f>
        <v>0</v>
      </c>
      <c r="C259" s="14">
        <f>ROUND(PAGE5!$M$44,5)</f>
        <v>0</v>
      </c>
    </row>
    <row r="260" spans="1:3">
      <c r="A260" s="106" t="e">
        <f>C1&amp;".E30.REM_NHA.SAS.OS.TTL"</f>
        <v>#N/A</v>
      </c>
      <c r="B260" s="14">
        <f>ROUND(PAGE5!$O$44,5)</f>
        <v>0</v>
      </c>
      <c r="C260" s="14">
        <f>ROUND(PAGE5!$Q$44,5)</f>
        <v>0</v>
      </c>
    </row>
    <row r="261" spans="1:3">
      <c r="A261" s="93" t="e">
        <f>C1&amp;".E30.REM_NHA.RENOV.APPR."</f>
        <v>#N/A</v>
      </c>
      <c r="B261" s="14">
        <f>ROUND(PAGE5!$G$50,5)</f>
        <v>0</v>
      </c>
      <c r="C261" s="14">
        <f>ROUND(PAGE5!$I$50,5)</f>
        <v>0</v>
      </c>
    </row>
    <row r="262" spans="1:3">
      <c r="A262" s="93" t="e">
        <f>C1&amp;".E30.REM_NHA.RENOV.DISB."</f>
        <v>#N/A</v>
      </c>
      <c r="B262" s="14">
        <f>ROUND(PAGE5!$K$50,5)</f>
        <v>0</v>
      </c>
      <c r="C262" s="14">
        <f>ROUND(PAGE5!$M$50,5)</f>
        <v>0</v>
      </c>
    </row>
    <row r="263" spans="1:3">
      <c r="A263" s="93" t="e">
        <f>C1&amp;".E30.REM_NHA.RENOV.OS."</f>
        <v>#N/A</v>
      </c>
      <c r="B263" s="14">
        <f>ROUND(PAGE5!$O$50,5)</f>
        <v>0</v>
      </c>
      <c r="C263" s="14">
        <f>ROUND(PAGE5!$Q$50,5)</f>
        <v>0</v>
      </c>
    </row>
    <row r="264" spans="1:3">
      <c r="A264" s="93" t="e">
        <f>C1&amp;".E30.REM_NHA.NEW_HOUSE.APPR."</f>
        <v>#N/A</v>
      </c>
      <c r="B264" s="14">
        <f>ROUND(PAGE5!$G$53,5)</f>
        <v>0</v>
      </c>
      <c r="C264" s="14">
        <f>ROUND(PAGE5!$I$53,5)</f>
        <v>0</v>
      </c>
    </row>
    <row r="265" spans="1:3">
      <c r="A265" s="93" t="e">
        <f>C1&amp;".E30.REM_NHA.NEW_HOUSE.DISB."</f>
        <v>#N/A</v>
      </c>
      <c r="B265" s="14">
        <f>ROUND(PAGE5!$K$53,5)</f>
        <v>0</v>
      </c>
      <c r="C265" s="14">
        <f>ROUND(PAGE5!$M$53,5)</f>
        <v>0</v>
      </c>
    </row>
    <row r="266" spans="1:3">
      <c r="A266" s="93" t="e">
        <f>C1&amp;".E30.REM_NHA.NEW_HOUSE.OS."</f>
        <v>#N/A</v>
      </c>
      <c r="B266" s="14">
        <f>ROUND(PAGE5!$O$53,5)</f>
        <v>0</v>
      </c>
      <c r="C266" s="14">
        <f>ROUND(PAGE5!$Q$53,5)</f>
        <v>0</v>
      </c>
    </row>
    <row r="267" spans="1:3">
      <c r="A267" s="93" t="e">
        <f>C1&amp;".E30.REM_NHA.EXIST_HOUSE.APPR."</f>
        <v>#N/A</v>
      </c>
      <c r="B267" s="14">
        <f>ROUND(PAGE5!$G$56,5)</f>
        <v>0</v>
      </c>
      <c r="C267" s="14">
        <f>ROUND(PAGE5!$I$56,5)</f>
        <v>0</v>
      </c>
    </row>
    <row r="268" spans="1:3">
      <c r="A268" s="93" t="e">
        <f>C1&amp;".E30.REM_NHA.EXIST_HOUSE.DISB."</f>
        <v>#N/A</v>
      </c>
      <c r="B268" s="14">
        <f>ROUND(PAGE5!$K$56,5)</f>
        <v>0</v>
      </c>
      <c r="C268" s="14">
        <f>ROUND(PAGE5!$M$56,5)</f>
        <v>0</v>
      </c>
    </row>
    <row r="269" spans="1:3">
      <c r="A269" s="93" t="e">
        <f>C1&amp;".E30.REM_NHA.EXIST_HOUSE.OS."</f>
        <v>#N/A</v>
      </c>
      <c r="B269" s="14">
        <f>ROUND(PAGE5!$O$56,5)</f>
        <v>0</v>
      </c>
      <c r="C269" s="14">
        <f>ROUND(PAGE5!$Q$56,5)</f>
        <v>0</v>
      </c>
    </row>
    <row r="270" spans="1:3">
      <c r="A270" s="93" t="e">
        <f>C1&amp;".E30.REM_NHA.LAND.APPR."</f>
        <v>#N/A</v>
      </c>
      <c r="B270" s="14">
        <f>ROUND(PAGE5!$G$58,5)</f>
        <v>0</v>
      </c>
      <c r="C270" s="14">
        <f>ROUND(PAGE5!$I$58,5)</f>
        <v>0</v>
      </c>
    </row>
    <row r="271" spans="1:3">
      <c r="A271" s="93" t="e">
        <f>C1&amp;".E30.REM_NHA.LAND.DISB."</f>
        <v>#N/A</v>
      </c>
      <c r="B271" s="14">
        <f>ROUND(PAGE5!$K$58,5)</f>
        <v>0</v>
      </c>
      <c r="C271" s="14">
        <f>ROUND(PAGE5!$M$58,5)</f>
        <v>0</v>
      </c>
    </row>
    <row r="272" spans="1:3">
      <c r="A272" s="93" t="e">
        <f>C1&amp;".E30.REM_NHA.LAND.OS."</f>
        <v>#N/A</v>
      </c>
      <c r="B272" s="14">
        <f>ROUND(PAGE5!$O$58,5)</f>
        <v>0</v>
      </c>
      <c r="C272" s="14">
        <f>ROUND(PAGE5!$Q$58,5)</f>
        <v>0</v>
      </c>
    </row>
    <row r="273" spans="1:3">
      <c r="A273" s="106" t="e">
        <f>C1&amp;".E30.REM_NHA.PURP.APPR.TTL"</f>
        <v>#N/A</v>
      </c>
      <c r="B273" s="14">
        <f>ROUND(PAGE5!$G$60,5)</f>
        <v>0</v>
      </c>
      <c r="C273" s="14">
        <f>ROUND(PAGE5!$I$60,5)</f>
        <v>0</v>
      </c>
    </row>
    <row r="274" spans="1:3">
      <c r="A274" s="106" t="e">
        <f>C1&amp;".E30.REM_NHA.PURP.DISB.TTL"</f>
        <v>#N/A</v>
      </c>
      <c r="B274" s="14">
        <f>ROUND(PAGE5!$K$60,5)</f>
        <v>0</v>
      </c>
      <c r="C274" s="14">
        <f>ROUND(PAGE5!$M$60,5)</f>
        <v>0</v>
      </c>
    </row>
    <row r="275" spans="1:3">
      <c r="A275" s="106" t="e">
        <f>C1&amp;".E30.REM_NHA.PURP.OS.TTL"</f>
        <v>#N/A</v>
      </c>
      <c r="B275" s="14">
        <f>ROUND(PAGE5!$O$60,5)</f>
        <v>0</v>
      </c>
      <c r="C275" s="14">
        <f>ROUND(PAGE5!$Q$60,5)</f>
        <v>0</v>
      </c>
    </row>
    <row r="276" spans="1:3">
      <c r="A276" s="92" t="s">
        <v>425</v>
      </c>
      <c r="B276" s="14" t="s">
        <v>415</v>
      </c>
      <c r="C276" s="14"/>
    </row>
    <row r="277" spans="1:3" ht="25.5" customHeight="1">
      <c r="A277" s="93" t="e">
        <f>C1&amp;".E30.REM_NHA.LN_APP.REC.RES"</f>
        <v>#N/A</v>
      </c>
      <c r="B277" s="14">
        <f>ROUND(PAGE5!$C$64,5)</f>
        <v>0</v>
      </c>
      <c r="C277" s="14"/>
    </row>
    <row r="278" spans="1:3">
      <c r="A278" s="93" t="e">
        <f>C1&amp;".E30.REM_NHA.LN_APP.REC.NRES"</f>
        <v>#N/A</v>
      </c>
      <c r="B278" s="14">
        <f>ROUND(PAGE5!$C$66,5)</f>
        <v>0</v>
      </c>
      <c r="C278" s="14"/>
    </row>
    <row r="279" spans="1:3">
      <c r="A279" s="92" t="s">
        <v>426</v>
      </c>
      <c r="B279" s="14" t="s">
        <v>415</v>
      </c>
      <c r="C279" s="14" t="s">
        <v>416</v>
      </c>
    </row>
    <row r="280" spans="1:3">
      <c r="A280" s="93" t="e">
        <f>C1&amp;".E30.LEASE_FIN.PVT_CARS.AGGR.NEW"</f>
        <v>#N/A</v>
      </c>
      <c r="B280" s="14">
        <f>ROUND(PAGE6!$H$23,5)</f>
        <v>0</v>
      </c>
      <c r="C280" s="14">
        <f>ROUND(PAGE6!$J$23,5)</f>
        <v>0</v>
      </c>
    </row>
    <row r="281" spans="1:3">
      <c r="A281" s="93" t="e">
        <f>C1&amp;".E30.LEASE_FIN.PVT_CARS.REPAY.NEW"</f>
        <v>#N/A</v>
      </c>
      <c r="B281" s="14">
        <f>ROUND(PAGE6!$L$23,5)</f>
        <v>0</v>
      </c>
      <c r="C281" s="14">
        <f>ROUND(PAGE6!$N$23,5)</f>
        <v>0</v>
      </c>
    </row>
    <row r="282" spans="1:3">
      <c r="A282" s="93" t="e">
        <f>C1&amp;".E30.LEASE_FIN.PVT_CARS.OS.NEW"</f>
        <v>#N/A</v>
      </c>
      <c r="B282" s="14">
        <f>ROUND(PAGE6!$P$23,5)</f>
        <v>0</v>
      </c>
      <c r="C282" s="14">
        <f>ROUND(PAGE6!$R$23,5)</f>
        <v>0</v>
      </c>
    </row>
    <row r="283" spans="1:3">
      <c r="A283" s="93" t="e">
        <f>C1&amp;".E30.LEASE_FIN.PVT_CARS.AGGR.USED"</f>
        <v>#N/A</v>
      </c>
      <c r="B283" s="14">
        <f>ROUND(PAGE6!$H$24,5)</f>
        <v>0</v>
      </c>
      <c r="C283" s="14">
        <f>ROUND(PAGE6!$J$24,5)</f>
        <v>0</v>
      </c>
    </row>
    <row r="284" spans="1:3" ht="25.5" customHeight="1">
      <c r="A284" s="93" t="e">
        <f>C1&amp;".E30.LEASE_FIN.PVT_CARS.REPAY.USED"</f>
        <v>#N/A</v>
      </c>
      <c r="B284" s="14">
        <f>ROUND(PAGE6!$L$24,5)</f>
        <v>0</v>
      </c>
      <c r="C284" s="14">
        <f>ROUND(PAGE6!$N$24,5)</f>
        <v>0</v>
      </c>
    </row>
    <row r="285" spans="1:3">
      <c r="A285" s="93" t="e">
        <f>C1&amp;".E30.LEASE_FIN.PVT_CARS.OS.USED"</f>
        <v>#N/A</v>
      </c>
      <c r="B285" s="14">
        <f>ROUND(PAGE6!$P$24,5)</f>
        <v>0</v>
      </c>
      <c r="C285" s="14">
        <f>ROUND(PAGE6!$R$24,5)</f>
        <v>0</v>
      </c>
    </row>
    <row r="286" spans="1:3">
      <c r="A286" s="93" t="e">
        <f>C1&amp;".E30.LEASE_FIN.OTH_VEH.AGGR.NEW"</f>
        <v>#N/A</v>
      </c>
      <c r="B286" s="14">
        <f>ROUND(PAGE6!$H$26,5)</f>
        <v>0</v>
      </c>
      <c r="C286" s="14">
        <f>ROUND(PAGE6!$J$26,5)</f>
        <v>0</v>
      </c>
    </row>
    <row r="287" spans="1:3">
      <c r="A287" s="93" t="e">
        <f>C1&amp;".E30.LEASE_FIN.OTH_VEH.REPAY.NEW"</f>
        <v>#N/A</v>
      </c>
      <c r="B287" s="14">
        <f>ROUND(PAGE6!$L$26,5)</f>
        <v>0</v>
      </c>
      <c r="C287" s="14">
        <f>ROUND(PAGE6!$N$26,5)</f>
        <v>0</v>
      </c>
    </row>
    <row r="288" spans="1:3">
      <c r="A288" s="93" t="e">
        <f>C1&amp;".E30.LEASE_FIN.OTH_VEH.OS.NEW"</f>
        <v>#N/A</v>
      </c>
      <c r="B288" s="14">
        <f>ROUND(PAGE6!$P$26,5)</f>
        <v>0</v>
      </c>
      <c r="C288" s="14">
        <f>ROUND(PAGE6!$R$26,5)</f>
        <v>0</v>
      </c>
    </row>
    <row r="289" spans="1:3">
      <c r="A289" s="93" t="e">
        <f>C1&amp;".E30.LEASE_FIN.OTH_VEH.AGGR.USED"</f>
        <v>#N/A</v>
      </c>
      <c r="B289" s="14">
        <f>ROUND(PAGE6!$H$27,5)</f>
        <v>0</v>
      </c>
      <c r="C289" s="14">
        <f>ROUND(PAGE6!$J$27,5)</f>
        <v>0</v>
      </c>
    </row>
    <row r="290" spans="1:3">
      <c r="A290" s="93" t="e">
        <f>C1&amp;".E30.LEASE_FIN.OTH_VEH.REPAY.USED"</f>
        <v>#N/A</v>
      </c>
      <c r="B290" s="14">
        <f>ROUND(PAGE6!$L$27,5)</f>
        <v>0</v>
      </c>
      <c r="C290" s="14">
        <f>ROUND(PAGE6!$N$27,5)</f>
        <v>0</v>
      </c>
    </row>
    <row r="291" spans="1:3">
      <c r="A291" s="93" t="e">
        <f>C1&amp;".E30.LEASE_FIN.OTH_VEH.OS.USED"</f>
        <v>#N/A</v>
      </c>
      <c r="B291" s="14">
        <f>ROUND(PAGE6!$P$27,5)</f>
        <v>0</v>
      </c>
      <c r="C291" s="14">
        <f>ROUND(PAGE6!$R$27,5)</f>
        <v>0</v>
      </c>
    </row>
    <row r="292" spans="1:3">
      <c r="A292" s="93" t="e">
        <f>C1&amp;".E30.LEASE_FIN.AGRIC_MACH.AGGR.NEW"</f>
        <v>#N/A</v>
      </c>
      <c r="B292" s="14">
        <f>ROUND(PAGE6!$H$30,5)</f>
        <v>0</v>
      </c>
      <c r="C292" s="14">
        <f>ROUND(PAGE6!$J$30,5)</f>
        <v>0</v>
      </c>
    </row>
    <row r="293" spans="1:3">
      <c r="A293" s="93" t="e">
        <f>C1&amp;".E30.LEASE_FIN.AGRIC_MACH.REPAY.NEW"</f>
        <v>#N/A</v>
      </c>
      <c r="B293" s="14">
        <f>ROUND(PAGE6!$L$30,5)</f>
        <v>0</v>
      </c>
      <c r="C293" s="14">
        <f>ROUND(PAGE6!$N$30,5)</f>
        <v>0</v>
      </c>
    </row>
    <row r="294" spans="1:3">
      <c r="A294" s="93" t="e">
        <f>C1&amp;".E30.LEASE_FIN.AGRIC_MACH.OS.NEW"</f>
        <v>#N/A</v>
      </c>
      <c r="B294" s="14">
        <f>ROUND(PAGE6!$P$30,5)</f>
        <v>0</v>
      </c>
      <c r="C294" s="14">
        <f>ROUND(PAGE6!$R$30,5)</f>
        <v>0</v>
      </c>
    </row>
    <row r="295" spans="1:3">
      <c r="A295" s="93" t="e">
        <f>C1&amp;".E30.LEASE_FIN.AGRIC_MACH.AGGR.USED"</f>
        <v>#N/A</v>
      </c>
      <c r="B295" s="14">
        <f>ROUND(PAGE6!$H$31,5)</f>
        <v>0</v>
      </c>
      <c r="C295" s="14">
        <f>ROUND(PAGE6!$J$31,5)</f>
        <v>0</v>
      </c>
    </row>
    <row r="296" spans="1:3">
      <c r="A296" s="93" t="e">
        <f>C1&amp;".E30.LEASE_FIN.AGRIC_MACH.REPAY.USED"</f>
        <v>#N/A</v>
      </c>
      <c r="B296" s="14">
        <f>ROUND(PAGE6!$L$31,5)</f>
        <v>0</v>
      </c>
      <c r="C296" s="14">
        <f>ROUND(PAGE6!$N$31,5)</f>
        <v>0</v>
      </c>
    </row>
    <row r="297" spans="1:3">
      <c r="A297" s="93" t="e">
        <f>C1&amp;".E30.LEASE_FIN.AGRIC_MACH.OS.USED"</f>
        <v>#N/A</v>
      </c>
      <c r="B297" s="14">
        <f>ROUND(PAGE6!$P$31,5)</f>
        <v>0</v>
      </c>
      <c r="C297" s="14">
        <f>ROUND(PAGE6!$R$31,5)</f>
        <v>0</v>
      </c>
    </row>
    <row r="298" spans="1:3">
      <c r="A298" s="93" t="e">
        <f>C1&amp;".E30.LEASE_FIN.IND_BLDG.AGGR.NEW"</f>
        <v>#N/A</v>
      </c>
      <c r="B298" s="14">
        <f>ROUND(PAGE6!$H$34,5)</f>
        <v>0</v>
      </c>
      <c r="C298" s="14">
        <f>ROUND(PAGE6!$J$34,5)</f>
        <v>0</v>
      </c>
    </row>
    <row r="299" spans="1:3">
      <c r="A299" s="93" t="e">
        <f>C1&amp;".E30.LEASE_FIN.IND_BLDG.REPAY.NEW"</f>
        <v>#N/A</v>
      </c>
      <c r="B299" s="14">
        <f>ROUND(PAGE6!$L$34,5)</f>
        <v>0</v>
      </c>
      <c r="C299" s="14">
        <f>ROUND(PAGE6!$N$34,5)</f>
        <v>0</v>
      </c>
    </row>
    <row r="300" spans="1:3">
      <c r="A300" s="93" t="e">
        <f>C1&amp;".E30.LEASE_FIN.IND_BLDG.OS.NEW"</f>
        <v>#N/A</v>
      </c>
      <c r="B300" s="14">
        <f>ROUND(PAGE6!$P$34,5)</f>
        <v>0</v>
      </c>
      <c r="C300" s="14">
        <f>ROUND(PAGE6!$R$34,5)</f>
        <v>0</v>
      </c>
    </row>
    <row r="301" spans="1:3">
      <c r="A301" s="93" t="e">
        <f>C1&amp;".E30.LEASE_FIN.IND_BLDG.AGGR.USED"</f>
        <v>#N/A</v>
      </c>
      <c r="B301" s="14">
        <f>ROUND(PAGE6!$H$35,5)</f>
        <v>0</v>
      </c>
      <c r="C301" s="14">
        <f>ROUND(PAGE6!$J$35,5)</f>
        <v>0</v>
      </c>
    </row>
    <row r="302" spans="1:3">
      <c r="A302" s="93" t="e">
        <f>C1&amp;".E30.LEASE_FIN.IND_BLDG.REPAY.USED"</f>
        <v>#N/A</v>
      </c>
      <c r="B302" s="14">
        <f>ROUND(PAGE6!$L$35,5)</f>
        <v>0</v>
      </c>
      <c r="C302" s="14">
        <f>ROUND(PAGE6!$N$35,5)</f>
        <v>0</v>
      </c>
    </row>
    <row r="303" spans="1:3">
      <c r="A303" s="93" t="e">
        <f>C1&amp;".E30.LEASE_FIN.IND_BLDG.OS.USED"</f>
        <v>#N/A</v>
      </c>
      <c r="B303" s="14">
        <f>ROUND(PAGE6!$P$35,5)</f>
        <v>0</v>
      </c>
      <c r="C303" s="14">
        <f>ROUND(PAGE6!$R$35,5)</f>
        <v>0</v>
      </c>
    </row>
    <row r="304" spans="1:3">
      <c r="A304" s="93" t="e">
        <f>C1&amp;".E30.LEASE_FIN.OFF_EQPT.AGGR.NEW"</f>
        <v>#N/A</v>
      </c>
      <c r="B304" s="14">
        <f>ROUND(PAGE6!$H$37,5)</f>
        <v>0</v>
      </c>
      <c r="C304" s="14">
        <f>ROUND(PAGE6!$J$37,5)</f>
        <v>0</v>
      </c>
    </row>
    <row r="305" spans="1:7">
      <c r="A305" s="93" t="e">
        <f>C1&amp;".E30.LEASE_FIN.OFF_EQPT.REPAY.NEW"</f>
        <v>#N/A</v>
      </c>
      <c r="B305" s="14">
        <f>ROUND(PAGE6!$L$37,5)</f>
        <v>0</v>
      </c>
      <c r="C305" s="14">
        <f>ROUND(PAGE6!$N$37,5)</f>
        <v>0</v>
      </c>
    </row>
    <row r="306" spans="1:7">
      <c r="A306" s="93" t="e">
        <f>C1&amp;".E30.LEASE_FIN.OFF_EQPT.OS.NEW"</f>
        <v>#N/A</v>
      </c>
      <c r="B306" s="14">
        <f>ROUND(PAGE6!$P$37,5)</f>
        <v>0</v>
      </c>
      <c r="C306" s="14">
        <f>ROUND(PAGE6!$R$37,5)</f>
        <v>0</v>
      </c>
    </row>
    <row r="307" spans="1:7">
      <c r="A307" s="93" t="e">
        <f>C1&amp;".E30.LEASE_FIN.OFF_EQPT.AGGR.USED"</f>
        <v>#N/A</v>
      </c>
      <c r="B307" s="14">
        <f>ROUND(PAGE6!$H$38,5)</f>
        <v>0</v>
      </c>
      <c r="C307" s="14">
        <f>ROUND(PAGE6!$J$38,5)</f>
        <v>0</v>
      </c>
    </row>
    <row r="308" spans="1:7" ht="12" customHeight="1">
      <c r="A308" s="93" t="e">
        <f>C1&amp;".E30.LEASE_FIN.OFF_EQPT.REPAY.USED"</f>
        <v>#N/A</v>
      </c>
      <c r="B308" s="14">
        <f>ROUND(PAGE6!$L$38,5)</f>
        <v>0</v>
      </c>
      <c r="C308" s="14">
        <f>ROUND(PAGE6!$N$38,5)</f>
        <v>0</v>
      </c>
    </row>
    <row r="309" spans="1:7">
      <c r="A309" s="93" t="e">
        <f>C1&amp;".E30.LEASE_FIN.OFF_EQPT.OS.USED"</f>
        <v>#N/A</v>
      </c>
      <c r="B309" s="14">
        <f>ROUND(PAGE6!$P$38,5)</f>
        <v>0</v>
      </c>
      <c r="C309" s="14">
        <f>ROUND(PAGE6!$R$38,5)</f>
        <v>0</v>
      </c>
    </row>
    <row r="310" spans="1:7">
      <c r="A310" s="93" t="e">
        <f>C1&amp;".E30.LEASE_FIN.OTH_EQP.AGGR."</f>
        <v>#N/A</v>
      </c>
      <c r="B310" s="14">
        <f>ROUND(PAGE6!$H$41,5)</f>
        <v>0</v>
      </c>
      <c r="C310" s="14">
        <f>ROUND(PAGE6!$J$41,5)</f>
        <v>0</v>
      </c>
    </row>
    <row r="311" spans="1:7">
      <c r="A311" s="93" t="e">
        <f>C1&amp;".E30.LEASE_FIN.OTH_EQP.REPAY."</f>
        <v>#N/A</v>
      </c>
      <c r="B311" s="14">
        <f>ROUND(PAGE6!$L$41,5)</f>
        <v>0</v>
      </c>
      <c r="C311" s="14">
        <f>ROUND(PAGE6!$N$41,5)</f>
        <v>0</v>
      </c>
    </row>
    <row r="312" spans="1:7">
      <c r="A312" s="93" t="e">
        <f>C1&amp;".E30.LEASE_FIN.OTH_EQP.OS."</f>
        <v>#N/A</v>
      </c>
      <c r="B312" s="14">
        <f>ROUND(PAGE6!$P$41,5)</f>
        <v>0</v>
      </c>
      <c r="C312" s="14">
        <f>ROUND(PAGE6!$R$41,5)</f>
        <v>0</v>
      </c>
    </row>
    <row r="313" spans="1:7">
      <c r="A313" s="106" t="e">
        <f>C1&amp;".E30.LEASE_FIN.AGGR.TTL"</f>
        <v>#N/A</v>
      </c>
      <c r="B313" s="14">
        <f>ROUND(PAGE6!$H$53,5)</f>
        <v>0</v>
      </c>
      <c r="C313" s="14">
        <f>ROUND(PAGE6!$J$53,5)</f>
        <v>0</v>
      </c>
    </row>
    <row r="314" spans="1:7">
      <c r="A314" s="106" t="e">
        <f>C1&amp;".E30.LEASE_FIN.REPAY.TTL"</f>
        <v>#N/A</v>
      </c>
      <c r="B314" s="14">
        <f>ROUND(PAGE6!$L$53,5)</f>
        <v>0</v>
      </c>
      <c r="C314" s="14">
        <f>ROUND(PAGE6!$N$53,5)</f>
        <v>0</v>
      </c>
    </row>
    <row r="315" spans="1:7">
      <c r="A315" s="106" t="e">
        <f>C1&amp;".E30.LEASE_FIN.OS.TTL"</f>
        <v>#N/A</v>
      </c>
      <c r="B315" s="14">
        <f>ROUND(PAGE6!$P$53,5)</f>
        <v>0</v>
      </c>
      <c r="C315" s="14">
        <f>ROUND(PAGE6!$R$53,5)</f>
        <v>0</v>
      </c>
    </row>
    <row r="316" spans="1:7">
      <c r="A316" s="95" t="s">
        <v>427</v>
      </c>
      <c r="B316" s="14" t="s">
        <v>667</v>
      </c>
      <c r="C316" s="14" t="s">
        <v>668</v>
      </c>
      <c r="D316" s="82" t="s">
        <v>428</v>
      </c>
      <c r="E316" s="82" t="s">
        <v>429</v>
      </c>
      <c r="F316" s="82" t="s">
        <v>430</v>
      </c>
      <c r="G316" s="82" t="s">
        <v>431</v>
      </c>
    </row>
    <row r="317" spans="1:7">
      <c r="A317" s="90" t="e">
        <f>C1&amp;".E30."&amp;T(PAGE6!$B$43)</f>
        <v>#N/A</v>
      </c>
      <c r="B317" s="14">
        <f>ROUND(PAGE6!$H$43,5)</f>
        <v>0</v>
      </c>
      <c r="C317" s="14">
        <f>ROUND(PAGE6!$J$43,5)</f>
        <v>0</v>
      </c>
      <c r="D317" s="89">
        <f>ROUND(PAGE6!$L$43,5)</f>
        <v>0</v>
      </c>
      <c r="E317" s="89">
        <f>ROUND(PAGE6!$N$43,5)</f>
        <v>0</v>
      </c>
      <c r="F317" s="89">
        <f>ROUND(PAGE6!$P$43,5)</f>
        <v>0</v>
      </c>
      <c r="G317" s="89">
        <f>ROUND(PAGE6!$R$43,5)</f>
        <v>0</v>
      </c>
    </row>
    <row r="318" spans="1:7">
      <c r="A318" s="95" t="e">
        <f>C1&amp;".E30."&amp;T(PAGE6!$B$45)</f>
        <v>#N/A</v>
      </c>
      <c r="B318" s="14">
        <f>ROUND(PAGE6!$H$45,5)</f>
        <v>0</v>
      </c>
      <c r="C318" s="14">
        <f>ROUND(PAGE6!$J$45,5)</f>
        <v>0</v>
      </c>
      <c r="D318" s="89">
        <f>ROUND(PAGE6!$L$45,5)</f>
        <v>0</v>
      </c>
      <c r="E318" s="89">
        <f>ROUND(PAGE6!$N$45,5)</f>
        <v>0</v>
      </c>
      <c r="F318" s="89">
        <f>ROUND(PAGE6!$P$45,5)</f>
        <v>0</v>
      </c>
      <c r="G318" s="89">
        <f>ROUND(PAGE6!$R$45,5)</f>
        <v>0</v>
      </c>
    </row>
    <row r="319" spans="1:7">
      <c r="A319" s="95" t="e">
        <f>C1&amp;".E30."&amp;T(PAGE6!$B$47)</f>
        <v>#N/A</v>
      </c>
      <c r="B319" s="14">
        <f>ROUND(PAGE6!$H$47,5)</f>
        <v>0</v>
      </c>
      <c r="C319" s="14">
        <f>ROUND(PAGE6!$J$47,5)</f>
        <v>0</v>
      </c>
      <c r="D319" s="89">
        <f>ROUND(PAGE6!$L$47,5)</f>
        <v>0</v>
      </c>
      <c r="E319" s="89">
        <f>ROUND(PAGE6!$N$47,5)</f>
        <v>0</v>
      </c>
      <c r="F319" s="89">
        <f>ROUND(PAGE6!$P$47,5)</f>
        <v>0</v>
      </c>
      <c r="G319" s="14">
        <f>ROUND(PAGE6!$R$47,5)</f>
        <v>0</v>
      </c>
    </row>
    <row r="320" spans="1:7">
      <c r="A320" s="90" t="s">
        <v>432</v>
      </c>
      <c r="B320" s="14" t="s">
        <v>415</v>
      </c>
      <c r="C320" s="14" t="s">
        <v>416</v>
      </c>
    </row>
    <row r="321" spans="1:3">
      <c r="A321" s="93" t="e">
        <f>C1&amp;".E30.LN_BUS.COC_COF_CIT_CULT.OS.PUB"</f>
        <v>#N/A</v>
      </c>
      <c r="B321" s="14">
        <f>ROUND(PAGE7!$F$20,5)</f>
        <v>0</v>
      </c>
      <c r="C321" s="14">
        <f>ROUND(PAGE7!$H$20,5)</f>
        <v>0</v>
      </c>
    </row>
    <row r="322" spans="1:3">
      <c r="A322" s="93" t="e">
        <f>C1&amp;".E30.LN_BUS.COC_COF_CIT_CULT.OS.PVT"</f>
        <v>#N/A</v>
      </c>
      <c r="B322" s="14">
        <f>ROUND(PAGE7!$J$20,5)</f>
        <v>0</v>
      </c>
      <c r="C322" s="14">
        <f>ROUND(PAGE7!$L$20,5)</f>
        <v>0</v>
      </c>
    </row>
    <row r="323" spans="1:3">
      <c r="A323" s="93" t="e">
        <f>C1&amp;".E30.LN_BUS.CCNUT_GROW.OS.PUB"</f>
        <v>#N/A</v>
      </c>
      <c r="B323" s="14">
        <f>ROUND(PAGE7!$F$22,5)</f>
        <v>0</v>
      </c>
      <c r="C323" s="14">
        <f>ROUND(PAGE7!$H$22,5)</f>
        <v>0</v>
      </c>
    </row>
    <row r="324" spans="1:3">
      <c r="A324" s="93" t="e">
        <f>C1&amp;".E30.LN_BUS.CCNUT_GROW.OS.PVT"</f>
        <v>#N/A</v>
      </c>
      <c r="B324" s="14">
        <f>ROUND(PAGE7!$J$22,5)</f>
        <v>0</v>
      </c>
      <c r="C324" s="14">
        <f>ROUND(PAGE7!$L$22,5)</f>
        <v>0</v>
      </c>
    </row>
    <row r="325" spans="1:3">
      <c r="A325" s="93" t="e">
        <f>C1&amp;".E30.LN_BUS.RCROP_PUL_VEG.OS.PUB"</f>
        <v>#N/A</v>
      </c>
      <c r="B325" s="14">
        <f>ROUND(PAGE7!$F$26,5)</f>
        <v>0</v>
      </c>
      <c r="C325" s="14">
        <f>ROUND(PAGE7!$H$26,5)</f>
        <v>0</v>
      </c>
    </row>
    <row r="326" spans="1:3">
      <c r="A326" s="93" t="e">
        <f>C1&amp;".E30.LN_BUS.RCROP_PUL_VEG.OS.PVT"</f>
        <v>#N/A</v>
      </c>
      <c r="B326" s="14">
        <f>ROUND(PAGE7!$J$26,5)</f>
        <v>0</v>
      </c>
      <c r="C326" s="14">
        <f>ROUND(PAGE7!$L$26,5)</f>
        <v>0</v>
      </c>
    </row>
    <row r="327" spans="1:3">
      <c r="A327" s="93" t="e">
        <f>C1&amp;".E30.LN_BUS.POL_EGGS.OS.PUB"</f>
        <v>#N/A</v>
      </c>
      <c r="B327" s="14">
        <f>ROUND(PAGE7!$F$28,5)</f>
        <v>0</v>
      </c>
      <c r="C327" s="14">
        <f>ROUND(PAGE7!$H$28,5)</f>
        <v>0</v>
      </c>
    </row>
    <row r="328" spans="1:3">
      <c r="A328" s="93" t="e">
        <f>C1&amp;".E30.LN_BUS.POL_EGGS.OS.PVT"</f>
        <v>#N/A</v>
      </c>
      <c r="B328" s="14">
        <f>ROUND(PAGE7!$J$28,5)</f>
        <v>0</v>
      </c>
      <c r="C328" s="14">
        <f>ROUND(PAGE7!$L$28,5)</f>
        <v>0</v>
      </c>
    </row>
    <row r="329" spans="1:3">
      <c r="A329" s="93" t="e">
        <f>C1&amp;".E30.LN_BUS.DAI_BEEF.OS.PUB"</f>
        <v>#N/A</v>
      </c>
      <c r="B329" s="14">
        <f>ROUND(PAGE7!$F$31,5)</f>
        <v>0</v>
      </c>
      <c r="C329" s="14">
        <f>ROUND(PAGE7!$H$31,5)</f>
        <v>0</v>
      </c>
    </row>
    <row r="330" spans="1:3">
      <c r="A330" s="93" t="e">
        <f>C1&amp;".E30.LN_BUS.DAI_BEEF.OS.PVT"</f>
        <v>#N/A</v>
      </c>
      <c r="B330" s="14">
        <f>ROUND(PAGE7!$J$31,5)</f>
        <v>0</v>
      </c>
      <c r="C330" s="14">
        <f>ROUND(PAGE7!$L$31,5)</f>
        <v>0</v>
      </c>
    </row>
    <row r="331" spans="1:3">
      <c r="A331" s="93" t="e">
        <f>C1&amp;".E30.LN_BUS.FORES_FISH.OS.PUB"</f>
        <v>#N/A</v>
      </c>
      <c r="B331" s="14">
        <f>ROUND(PAGE7!$F$33,5)</f>
        <v>0</v>
      </c>
      <c r="C331" s="14">
        <f>ROUND(PAGE7!$H$33,5)</f>
        <v>0</v>
      </c>
    </row>
    <row r="332" spans="1:3">
      <c r="A332" s="93" t="e">
        <f>C1&amp;".E30.LN_BUS.FORES_FISH.OS.PVT"</f>
        <v>#N/A</v>
      </c>
      <c r="B332" s="14">
        <f>ROUND(PAGE7!$J$33,5)</f>
        <v>0</v>
      </c>
      <c r="C332" s="14">
        <f>ROUND(PAGE7!$L$33,5)</f>
        <v>0</v>
      </c>
    </row>
    <row r="333" spans="1:3">
      <c r="A333" s="93" t="e">
        <f>C1&amp;".E30.LN_BUS.OTH_DOM.OS.PUB"</f>
        <v>#N/A</v>
      </c>
      <c r="B333" s="14">
        <f>ROUND(PAGE7!$F$36,5)</f>
        <v>0</v>
      </c>
      <c r="C333" s="14">
        <f>ROUND(PAGE7!$H$36,5)</f>
        <v>0</v>
      </c>
    </row>
    <row r="334" spans="1:3">
      <c r="A334" s="93" t="e">
        <f>C1&amp;".E30.LN_BUS.OTH_DOM.OS.PVT"</f>
        <v>#N/A</v>
      </c>
      <c r="B334" s="14">
        <f>ROUND(PAGE7!$J$36,5)</f>
        <v>0</v>
      </c>
      <c r="C334" s="14">
        <f>ROUND(PAGE7!$L$36,5)</f>
        <v>0</v>
      </c>
    </row>
    <row r="335" spans="1:3">
      <c r="A335" s="93" t="e">
        <f>C1&amp;".E30.LN_BUS.SUG_IND.OS.PUB"</f>
        <v>#N/A</v>
      </c>
      <c r="B335" s="14">
        <f>ROUND(PAGE7!$F$38,5)</f>
        <v>0</v>
      </c>
      <c r="C335" s="14">
        <f>ROUND(PAGE7!$H$38,5)</f>
        <v>0</v>
      </c>
    </row>
    <row r="336" spans="1:3">
      <c r="A336" s="93" t="e">
        <f>C1&amp;".E30.LN_BUS.SUG_IND.OS.PVT"</f>
        <v>#N/A</v>
      </c>
      <c r="B336" s="14">
        <f>ROUND(PAGE7!$J$38,5)</f>
        <v>0</v>
      </c>
      <c r="C336" s="14">
        <f>ROUND(PAGE7!$L$38,5)</f>
        <v>0</v>
      </c>
    </row>
    <row r="337" spans="1:3">
      <c r="A337" s="93" t="e">
        <f>C1&amp;".E30.LN_BUS.PETRO.OS.PUB"</f>
        <v>#N/A</v>
      </c>
      <c r="B337" s="14">
        <f>ROUND(PAGE7!$F$42,5)</f>
        <v>0</v>
      </c>
      <c r="C337" s="14">
        <f>ROUND(PAGE7!$H$42,5)</f>
        <v>0</v>
      </c>
    </row>
    <row r="338" spans="1:3">
      <c r="A338" s="93" t="e">
        <f>C1&amp;".E30.LN_BUS.PETRO.OS.PVT"</f>
        <v>#N/A</v>
      </c>
      <c r="B338" s="14">
        <f>ROUND(PAGE7!$J$42,5)</f>
        <v>0</v>
      </c>
      <c r="C338" s="14">
        <f>ROUND(PAGE7!$L$42,5)</f>
        <v>0</v>
      </c>
    </row>
    <row r="339" spans="1:3">
      <c r="A339" s="93" t="e">
        <f>C1&amp;".E30.LN_BUS.FOOD_PROCESS.OS.PUB"</f>
        <v>#N/A</v>
      </c>
      <c r="B339" s="14">
        <f>ROUND(PAGE7!$F$44,5)</f>
        <v>0</v>
      </c>
      <c r="C339" s="14">
        <f>ROUND(PAGE7!$H$44,5)</f>
        <v>0</v>
      </c>
    </row>
    <row r="340" spans="1:3">
      <c r="A340" s="93" t="e">
        <f>C1&amp;".E30.LN_BUS.FOOD_PROCESS.OS.PVT"</f>
        <v>#N/A</v>
      </c>
      <c r="B340" s="14">
        <f>ROUND(PAGE7!$J$44,5)</f>
        <v>0</v>
      </c>
      <c r="C340" s="14">
        <f>ROUND(PAGE7!$L$44,5)</f>
        <v>0</v>
      </c>
    </row>
    <row r="341" spans="1:3">
      <c r="A341" s="93" t="e">
        <f>C1&amp;".E30.LN_BUS.DRNK_TOBCCO.OS.PUB"</f>
        <v>#N/A</v>
      </c>
      <c r="B341" s="14">
        <f>ROUND(PAGE7!$F$47,5)</f>
        <v>0</v>
      </c>
      <c r="C341" s="14">
        <f>ROUND(PAGE7!$H$47,5)</f>
        <v>0</v>
      </c>
    </row>
    <row r="342" spans="1:3">
      <c r="A342" s="93" t="e">
        <f>C1&amp;".E30.LN_BUS.DRNK_TOBCCO.OS.PVT"</f>
        <v>#N/A</v>
      </c>
      <c r="B342" s="14">
        <f>ROUND(PAGE7!$J$47,5)</f>
        <v>0</v>
      </c>
      <c r="C342" s="14">
        <f>ROUND(PAGE7!$L$47,5)</f>
        <v>0</v>
      </c>
    </row>
    <row r="343" spans="1:3">
      <c r="A343" s="93" t="e">
        <f>C1&amp;".E30.LN_BUS.TEX_GARMNTS.OS.PUB"</f>
        <v>#N/A</v>
      </c>
      <c r="B343" s="14">
        <f>ROUND(PAGE7!$F$49,5)</f>
        <v>0</v>
      </c>
      <c r="C343" s="14">
        <f>ROUND(PAGE7!$H$49,5)</f>
        <v>0</v>
      </c>
    </row>
    <row r="344" spans="1:3">
      <c r="A344" s="93" t="e">
        <f>C1&amp;".E30.LN_BUS.TEX_GARMNTS.OS.PVT"</f>
        <v>#N/A</v>
      </c>
      <c r="B344" s="14">
        <f>ROUND(PAGE7!$J$49,5)</f>
        <v>0</v>
      </c>
      <c r="C344" s="14">
        <f>ROUND(PAGE7!$L$49,5)</f>
        <v>0</v>
      </c>
    </row>
    <row r="345" spans="1:3">
      <c r="A345" s="93" t="e">
        <f>C1&amp;".E30.LN_BUS.FOOT_HWEAR.OS.PUB"</f>
        <v>#N/A</v>
      </c>
      <c r="B345" s="14">
        <f>ROUND(PAGE7!$F$52,5)</f>
        <v>0</v>
      </c>
      <c r="C345" s="14">
        <f>ROUND(PAGE7!$H$52,5)</f>
        <v>0</v>
      </c>
    </row>
    <row r="346" spans="1:3">
      <c r="A346" s="93" t="e">
        <f>C1&amp;".E30.LN_BUS.FOOT_HWEAR.OS.PVT"</f>
        <v>#N/A</v>
      </c>
      <c r="B346" s="14">
        <f>ROUND(PAGE7!$J$52,5)</f>
        <v>0</v>
      </c>
      <c r="C346" s="14">
        <f>ROUND(PAGE7!$L$52,5)</f>
        <v>0</v>
      </c>
    </row>
    <row r="347" spans="1:3">
      <c r="A347" s="93" t="e">
        <f>C1&amp;".E30.LN_BUS.PRINT_PUBL.OS.PUB"</f>
        <v>#N/A</v>
      </c>
      <c r="B347" s="14">
        <f>ROUND(PAGE7!$F$55,5)</f>
        <v>0</v>
      </c>
      <c r="C347" s="14">
        <f>ROUND(PAGE7!$H$55,5)</f>
        <v>0</v>
      </c>
    </row>
    <row r="348" spans="1:3">
      <c r="A348" s="93" t="e">
        <f>C1&amp;".E30.LN_BUS.PRINT_PUBL.OS.PVT"</f>
        <v>#N/A</v>
      </c>
      <c r="B348" s="14">
        <f>ROUND(PAGE7!$J$55,5)</f>
        <v>0</v>
      </c>
      <c r="C348" s="14">
        <f>ROUND(PAGE7!$L$55,5)</f>
        <v>0</v>
      </c>
    </row>
    <row r="349" spans="1:3">
      <c r="A349" s="93" t="e">
        <f>C1&amp;".E30.LN_BUS.WOOD_OTH.OS.PUB"</f>
        <v>#N/A</v>
      </c>
      <c r="B349" s="14">
        <f>ROUND(PAGE7!$F$58,5)</f>
        <v>0</v>
      </c>
      <c r="C349" s="14">
        <f>ROUND(PAGE7!$H$58,5)</f>
        <v>0</v>
      </c>
    </row>
    <row r="350" spans="1:3">
      <c r="A350" s="93" t="e">
        <f>C1&amp;".E30.LN_BUS.WOOD_OTH.OS.PVT"</f>
        <v>#N/A</v>
      </c>
      <c r="B350" s="14">
        <f>ROUND(PAGE7!$J$58,5)</f>
        <v>0</v>
      </c>
      <c r="C350" s="14">
        <f>ROUND(PAGE7!$L$58,5)</f>
        <v>0</v>
      </c>
    </row>
    <row r="351" spans="1:3">
      <c r="A351" s="93" t="e">
        <f>C1&amp;".E30.LN_BUS.GAS_PAINT.OS.PUB"</f>
        <v>#N/A</v>
      </c>
      <c r="B351" s="14">
        <f>ROUND(PAGE8!$E$9,5)</f>
        <v>0</v>
      </c>
      <c r="C351" s="14">
        <f>ROUND(PAGE8!$G$9,5)</f>
        <v>0</v>
      </c>
    </row>
    <row r="352" spans="1:3">
      <c r="A352" s="93" t="e">
        <f>C1&amp;".E30.LN_BUS.GAS_PAINT.OS.PVT"</f>
        <v>#N/A</v>
      </c>
      <c r="B352" s="14">
        <f>ROUND(PAGE8!$I$9,5)</f>
        <v>0</v>
      </c>
      <c r="C352" s="14">
        <f>ROUND(PAGE8!$K$9,5)</f>
        <v>0</v>
      </c>
    </row>
    <row r="353" spans="1:3">
      <c r="A353" s="93" t="e">
        <f>C1&amp;".E30.LN_BUS.PHARM_CHEM.OS.PUB"</f>
        <v>#N/A</v>
      </c>
      <c r="B353" s="14">
        <f>ROUND(PAGE8!$E$11,5)</f>
        <v>0</v>
      </c>
      <c r="C353" s="14">
        <f>ROUND(PAGE8!$G$11,5)</f>
        <v>0</v>
      </c>
    </row>
    <row r="354" spans="1:3">
      <c r="A354" s="93" t="e">
        <f>C1&amp;".E30.LN_BUS.PHARM_CHEM.OS.PVT"</f>
        <v>#N/A</v>
      </c>
      <c r="B354" s="14">
        <f>ROUND(PAGE8!$I$11,5)</f>
        <v>0</v>
      </c>
      <c r="C354" s="14">
        <f>ROUND(PAGE8!$K$11,5)</f>
        <v>0</v>
      </c>
    </row>
    <row r="355" spans="1:3">
      <c r="A355" s="93" t="e">
        <f>C1&amp;".E30.LN_BUS.CLAY_BRIC.OS.PUB"</f>
        <v>#N/A</v>
      </c>
      <c r="B355" s="14">
        <f>ROUND(PAGE8!$E$15,5)</f>
        <v>0</v>
      </c>
      <c r="C355" s="14">
        <f>ROUND(PAGE8!$G$15,5)</f>
        <v>0</v>
      </c>
    </row>
    <row r="356" spans="1:3">
      <c r="A356" s="93" t="e">
        <f>C1&amp;".E30.LN_BUS.CLAY_BRIC.OS.PVT"</f>
        <v>#N/A</v>
      </c>
      <c r="B356" s="14">
        <f>ROUND(PAGE8!$I$15,5)</f>
        <v>0</v>
      </c>
      <c r="C356" s="14">
        <f>ROUND(PAGE8!$K$15,5)</f>
        <v>0</v>
      </c>
    </row>
    <row r="357" spans="1:3">
      <c r="A357" s="93" t="e">
        <f>C1&amp;".E30.LN_BUS.CEMNT_CONC.OS.PUB"</f>
        <v>#N/A</v>
      </c>
      <c r="B357" s="14">
        <f>ROUND(PAGE8!$E$17,5)</f>
        <v>0</v>
      </c>
      <c r="C357" s="14">
        <f>ROUND(PAGE8!$G$17,5)</f>
        <v>0</v>
      </c>
    </row>
    <row r="358" spans="1:3">
      <c r="A358" s="93" t="e">
        <f>C1&amp;".E30.LN_BUS.CEMNT_CONC.OS.PVT"</f>
        <v>#N/A</v>
      </c>
      <c r="B358" s="14">
        <f>ROUND(PAGE8!$I$17,5)</f>
        <v>0</v>
      </c>
      <c r="C358" s="14">
        <f>ROUND(PAGE8!$K$17,5)</f>
        <v>0</v>
      </c>
    </row>
    <row r="359" spans="1:3">
      <c r="A359" s="93" t="e">
        <f>C1&amp;".E30.LN_BUS.OTH_CHEM.OS.PUB"</f>
        <v>#N/A</v>
      </c>
      <c r="B359" s="14">
        <f>ROUND(PAGE8!$E$20,5)</f>
        <v>0</v>
      </c>
      <c r="C359" s="14">
        <f>ROUND(PAGE8!$G$20,5)</f>
        <v>0</v>
      </c>
    </row>
    <row r="360" spans="1:3">
      <c r="A360" s="93" t="e">
        <f>C1&amp;".E30.LN_BUS.OTH_CHEM.OS.PVT"</f>
        <v>#N/A</v>
      </c>
      <c r="B360" s="14">
        <f>ROUND(PAGE8!$I$20,5)</f>
        <v>0</v>
      </c>
      <c r="C360" s="14">
        <f>ROUND(PAGE8!$K$20,5)</f>
        <v>0</v>
      </c>
    </row>
    <row r="361" spans="1:3">
      <c r="A361" s="93" t="e">
        <f>C1&amp;".E30.LN_BUS.MOTOR_ASSBLY.OS.PUB"</f>
        <v>#N/A</v>
      </c>
      <c r="B361" s="14">
        <f>ROUND(PAGE8!$E$25,5)</f>
        <v>0</v>
      </c>
      <c r="C361" s="14">
        <f>ROUND(PAGE8!$G$25,5)</f>
        <v>0</v>
      </c>
    </row>
    <row r="362" spans="1:3">
      <c r="A362" s="93" t="e">
        <f>C1&amp;".E30.LN_BUS.MOTOR_ASSBLY.OS.PVT"</f>
        <v>#N/A</v>
      </c>
      <c r="B362" s="14">
        <f>ROUND(PAGE8!$I$25,5)</f>
        <v>0</v>
      </c>
      <c r="C362" s="14">
        <f>ROUND(PAGE8!$K$25,5)</f>
        <v>0</v>
      </c>
    </row>
    <row r="363" spans="1:3">
      <c r="A363" s="93" t="e">
        <f>C1&amp;".E30.LN_BUS.ASSBLY_APPL.OS.PUB"</f>
        <v>#N/A</v>
      </c>
      <c r="B363" s="14">
        <f>ROUND(PAGE8!$E$27,5)</f>
        <v>0</v>
      </c>
      <c r="C363" s="14">
        <f>ROUND(PAGE8!$G$27,5)</f>
        <v>0</v>
      </c>
    </row>
    <row r="364" spans="1:3">
      <c r="A364" s="93" t="e">
        <f>C1&amp;".E30.LN_BUS.ASSBLY_APPL.OS.PVT"</f>
        <v>#N/A</v>
      </c>
      <c r="B364" s="14">
        <f>ROUND(PAGE8!$I$27,5)</f>
        <v>0</v>
      </c>
      <c r="C364" s="14">
        <f>ROUND(PAGE8!$K$27,5)</f>
        <v>0</v>
      </c>
    </row>
    <row r="365" spans="1:3">
      <c r="A365" s="93" t="e">
        <f>C1&amp;".E30.LN_BUS.METAL_BUILD.OS.PUB"</f>
        <v>#N/A</v>
      </c>
      <c r="B365" s="14">
        <f>ROUND(PAGE8!$E$31,5)</f>
        <v>0</v>
      </c>
      <c r="C365" s="14">
        <f>ROUND(PAGE8!$G$31,5)</f>
        <v>0</v>
      </c>
    </row>
    <row r="366" spans="1:3">
      <c r="A366" s="93" t="e">
        <f>C1&amp;".E30.LN_BUS.METAL_BUILD.OS.PVT"</f>
        <v>#N/A</v>
      </c>
      <c r="B366" s="14">
        <f>ROUND(PAGE8!$I$31,5)</f>
        <v>0</v>
      </c>
      <c r="C366" s="14">
        <f>ROUND(PAGE8!$K$31,5)</f>
        <v>0</v>
      </c>
    </row>
    <row r="367" spans="1:3">
      <c r="A367" s="93" t="e">
        <f>C1&amp;".E30.LN_BUS.MANF_IRON_STL.OS.PUB"</f>
        <v>#N/A</v>
      </c>
      <c r="B367" s="14">
        <f>ROUND(PAGE8!$E$34,5)</f>
        <v>0</v>
      </c>
      <c r="C367" s="14">
        <f>ROUND(PAGE8!$G$34,5)</f>
        <v>0</v>
      </c>
    </row>
    <row r="368" spans="1:3">
      <c r="A368" s="93" t="e">
        <f>C1&amp;".E30.LN_BUS.MANF_IRON_STL.OS.PVT"</f>
        <v>#N/A</v>
      </c>
      <c r="B368" s="14">
        <f>ROUND(PAGE8!$I$34,5)</f>
        <v>0</v>
      </c>
      <c r="C368" s="14">
        <f>ROUND(PAGE8!$K$34,5)</f>
        <v>0</v>
      </c>
    </row>
    <row r="369" spans="1:3">
      <c r="A369" s="93" t="e">
        <f>C1&amp;".E30.LN_BUS.OTH_ASSMBL_TYP.OS.PUB"</f>
        <v>#N/A</v>
      </c>
      <c r="B369" s="14">
        <f>ROUND(PAGE8!$E$36,5)</f>
        <v>0</v>
      </c>
      <c r="C369" s="14">
        <f>ROUND(PAGE8!$G$36,5)</f>
        <v>0</v>
      </c>
    </row>
    <row r="370" spans="1:3">
      <c r="A370" s="93" t="e">
        <f>C1&amp;".E30.LN_BUS.OTH_ASSMBL_TYP.OS.PVT"</f>
        <v>#N/A</v>
      </c>
      <c r="B370" s="14">
        <f>ROUND(PAGE8!$I$36,5)</f>
        <v>0</v>
      </c>
      <c r="C370" s="14">
        <f>ROUND(PAGE8!$K$36,5)</f>
        <v>0</v>
      </c>
    </row>
    <row r="371" spans="1:3">
      <c r="A371" s="93" t="e">
        <f>C1&amp;".E30.LN_BUS.MISC_MANF.OS.PUB"</f>
        <v>#N/A</v>
      </c>
      <c r="B371" s="14">
        <f>ROUND(PAGE8!$E$39,5)</f>
        <v>0</v>
      </c>
      <c r="C371" s="14">
        <f>ROUND(PAGE8!$G$39,5)</f>
        <v>0</v>
      </c>
    </row>
    <row r="372" spans="1:3">
      <c r="A372" s="93" t="e">
        <f>C1&amp;".E30.LN_BUS.MISC_MANF.OS.PVT"</f>
        <v>#N/A</v>
      </c>
      <c r="B372" s="14">
        <f>ROUND(PAGE8!$I$39,5)</f>
        <v>0</v>
      </c>
      <c r="C372" s="14">
        <f>ROUND(PAGE8!$K$39,5)</f>
        <v>0</v>
      </c>
    </row>
    <row r="373" spans="1:3">
      <c r="A373" s="93" t="e">
        <f>C1&amp;".E30.LN_BUS.ELEC_WATER.OS.PUB"</f>
        <v>#N/A</v>
      </c>
      <c r="B373" s="14">
        <f>ROUND(PAGE8!$E$42,5)</f>
        <v>0</v>
      </c>
      <c r="C373" s="14">
        <f>ROUND(PAGE8!$G$42,5)</f>
        <v>0</v>
      </c>
    </row>
    <row r="374" spans="1:3">
      <c r="A374" s="93" t="e">
        <f>C1&amp;".E30.LN_BUS.ELEC_WATER.OS.PVT"</f>
        <v>#N/A</v>
      </c>
      <c r="B374" s="14">
        <f>ROUND(PAGE8!$I$42,5)</f>
        <v>0</v>
      </c>
      <c r="C374" s="14">
        <f>ROUND(PAGE8!$K$42,5)</f>
        <v>0</v>
      </c>
    </row>
    <row r="375" spans="1:3">
      <c r="A375" s="93" t="e">
        <f>C1&amp;".E30.LN_BUS.BLD_CONSTR.OS.PUB"</f>
        <v>#N/A</v>
      </c>
      <c r="B375" s="14">
        <f>ROUND(PAGE8!$E$45,5)</f>
        <v>0</v>
      </c>
      <c r="C375" s="14">
        <f>ROUND(PAGE8!$G$45,5)</f>
        <v>0</v>
      </c>
    </row>
    <row r="376" spans="1:3">
      <c r="A376" s="93" t="e">
        <f>C1&amp;".E30.LN_BUS.BLD_CONSTR.OS.PVT"</f>
        <v>#N/A</v>
      </c>
      <c r="B376" s="14">
        <f>ROUND(PAGE8!$I$45,5)</f>
        <v>0</v>
      </c>
      <c r="C376" s="14">
        <f>ROUND(PAGE8!$K$45,5)</f>
        <v>0</v>
      </c>
    </row>
    <row r="377" spans="1:3">
      <c r="A377" s="93" t="e">
        <f>C1&amp;".E30.LN_BUS.CIVIL_ENG.OS.PUB"</f>
        <v>#N/A</v>
      </c>
      <c r="B377" s="14">
        <f>ROUND(PAGE8!$E$47,5)</f>
        <v>0</v>
      </c>
      <c r="C377" s="14">
        <f>ROUND(PAGE8!$G$47,5)</f>
        <v>0</v>
      </c>
    </row>
    <row r="378" spans="1:3">
      <c r="A378" s="93" t="e">
        <f>C1&amp;".E30.LN_BUS.CIVIL_ENG.OS.PVT"</f>
        <v>#N/A</v>
      </c>
      <c r="B378" s="14">
        <f>ROUND(PAGE8!$I$47,5)</f>
        <v>0</v>
      </c>
      <c r="C378" s="14">
        <f>ROUND(PAGE8!$K$47,5)</f>
        <v>0</v>
      </c>
    </row>
    <row r="379" spans="1:3">
      <c r="A379" s="93" t="e">
        <f>C1&amp;".E30.LN_BUS.ELEC_INST.OS.PUB"</f>
        <v>#N/A</v>
      </c>
      <c r="B379" s="14">
        <f>ROUND(PAGE8!$E$50,5)</f>
        <v>0</v>
      </c>
      <c r="C379" s="14">
        <f>ROUND(PAGE8!$G$50,5)</f>
        <v>0</v>
      </c>
    </row>
    <row r="380" spans="1:3">
      <c r="A380" s="93" t="e">
        <f>C1&amp;".E30.LN_BUS.ELEC_INST.OS.PVT"</f>
        <v>#N/A</v>
      </c>
      <c r="B380" s="14">
        <f>ROUND(PAGE8!$I$50,5)</f>
        <v>0</v>
      </c>
      <c r="C380" s="14">
        <f>ROUND(PAGE8!$K$50,5)</f>
        <v>0</v>
      </c>
    </row>
    <row r="381" spans="1:3">
      <c r="A381" s="93" t="e">
        <f>C1&amp;".E30.LN_BUS.OTH_CONSTR.OS.PUB"</f>
        <v>#N/A</v>
      </c>
      <c r="B381" s="14">
        <f>ROUND(PAGE8!$E$53,5)</f>
        <v>0</v>
      </c>
      <c r="C381" s="14">
        <f>ROUND(PAGE8!$G$53,5)</f>
        <v>0</v>
      </c>
    </row>
    <row r="382" spans="1:3">
      <c r="A382" s="93" t="e">
        <f>C1&amp;".E30.LN_BUS.OTH_CONSTR.OS.PVT"</f>
        <v>#N/A</v>
      </c>
      <c r="B382" s="14">
        <f>ROUND(PAGE8!$I$53,5)</f>
        <v>0</v>
      </c>
      <c r="C382" s="14">
        <f>ROUND(PAGE8!$K$53,5)</f>
        <v>0</v>
      </c>
    </row>
    <row r="383" spans="1:3">
      <c r="A383" s="93" t="e">
        <f>C1&amp;".E30.LN_BUS.WSALE_TRDE.OS.PUB"</f>
        <v>#N/A</v>
      </c>
      <c r="B383" s="14">
        <f>ROUND(PAGE8!$E$55,5)</f>
        <v>0</v>
      </c>
      <c r="C383" s="14">
        <f>ROUND(PAGE8!$G$55,5)</f>
        <v>0</v>
      </c>
    </row>
    <row r="384" spans="1:3">
      <c r="A384" s="93" t="e">
        <f>C1&amp;".E30.LN_BUS.WSALE_TRDE.OS.PVT"</f>
        <v>#N/A</v>
      </c>
      <c r="B384" s="14">
        <f>ROUND(PAGE8!$I$55,5)</f>
        <v>0</v>
      </c>
      <c r="C384" s="14">
        <f>ROUND(PAGE8!$K$55,5)</f>
        <v>0</v>
      </c>
    </row>
    <row r="385" spans="1:3">
      <c r="A385" s="93" t="e">
        <f>C1&amp;".E30.LN_BUS.RET_TRDE.OS.PUB"</f>
        <v>#N/A</v>
      </c>
      <c r="B385" s="14">
        <f>ROUND(PAGE8!$E$57,5)</f>
        <v>0</v>
      </c>
      <c r="C385" s="14">
        <f>ROUND(PAGE8!$G$57,5)</f>
        <v>0</v>
      </c>
    </row>
    <row r="386" spans="1:3">
      <c r="A386" s="93" t="e">
        <f>C1&amp;".E30.LN_BUS.RET_TRDE.OS.PVT"</f>
        <v>#N/A</v>
      </c>
      <c r="B386" s="14">
        <f>ROUND(PAGE8!$I$57,5)</f>
        <v>0</v>
      </c>
      <c r="C386" s="14">
        <f>ROUND(PAGE8!$K$57,5)</f>
        <v>0</v>
      </c>
    </row>
    <row r="387" spans="1:3">
      <c r="A387" s="93" t="e">
        <f>C1&amp;".E30.LN_BUS.REST_BAR.OS.PUB"</f>
        <v>#N/A</v>
      </c>
      <c r="B387" s="14">
        <f>ROUND(PAGE9!$E$9,5)</f>
        <v>0</v>
      </c>
      <c r="C387" s="14">
        <f>ROUND(PAGE9!$G$9,5)</f>
        <v>0</v>
      </c>
    </row>
    <row r="388" spans="1:3">
      <c r="A388" s="93" t="e">
        <f>C1&amp;".E30.LN_BUS.REST_BAR.OS.PVT"</f>
        <v>#N/A</v>
      </c>
      <c r="B388" s="14">
        <f>ROUND(PAGE9!$I$9,5)</f>
        <v>0</v>
      </c>
      <c r="C388" s="14">
        <f>ROUND(PAGE9!$K$9,5)</f>
        <v>0</v>
      </c>
    </row>
    <row r="389" spans="1:3">
      <c r="A389" s="93" t="e">
        <f>C1&amp;".E30.LN_BUS.HOTL_GUEST_HSE.OS.PUB"</f>
        <v>#N/A</v>
      </c>
      <c r="B389" s="14">
        <f>ROUND(PAGE9!$E$12,5)</f>
        <v>0</v>
      </c>
      <c r="C389" s="14">
        <f>ROUND(PAGE9!$G$12,5)</f>
        <v>0</v>
      </c>
    </row>
    <row r="390" spans="1:3">
      <c r="A390" s="93" t="e">
        <f>C1&amp;".E30.LN_BUS.HOTL_GUEST_HSE.OS.PVT"</f>
        <v>#N/A</v>
      </c>
      <c r="B390" s="14">
        <f>ROUND(PAGE9!$I$12,5)</f>
        <v>0</v>
      </c>
      <c r="C390" s="14">
        <f>ROUND(PAGE9!$K$12,5)</f>
        <v>0</v>
      </c>
    </row>
    <row r="391" spans="1:3">
      <c r="A391" s="93" t="e">
        <f>C1&amp;".E30.LN_BUS.TAXI_SERV.OS.PUB"</f>
        <v>#N/A</v>
      </c>
      <c r="B391" s="14">
        <f>ROUND(PAGE9!$E$15,5)</f>
        <v>0</v>
      </c>
      <c r="C391" s="14">
        <f>ROUND(PAGE9!$G$15,5)</f>
        <v>0</v>
      </c>
    </row>
    <row r="392" spans="1:3">
      <c r="A392" s="93" t="e">
        <f>C1&amp;".E30.LN_BUS.TAXI_SERV.OS.PVT"</f>
        <v>#N/A</v>
      </c>
      <c r="B392" s="14">
        <f>ROUND(PAGE9!$I$15,5)</f>
        <v>0</v>
      </c>
      <c r="C392" s="14">
        <f>ROUND(PAGE9!$K$15,5)</f>
        <v>0</v>
      </c>
    </row>
    <row r="393" spans="1:3">
      <c r="A393" s="93" t="e">
        <f>C1&amp;".E30.LN_BUS.TRUCKING.OS.PUB"</f>
        <v>#N/A</v>
      </c>
      <c r="B393" s="14">
        <f>ROUND(PAGE9!$E$17,5)</f>
        <v>0</v>
      </c>
      <c r="C393" s="14">
        <f>ROUND(PAGE9!$G$17,5)</f>
        <v>0</v>
      </c>
    </row>
    <row r="394" spans="1:3">
      <c r="A394" s="93" t="e">
        <f>C1&amp;".E30.LN_BUS.TRUCKING.OS.PVT"</f>
        <v>#N/A</v>
      </c>
      <c r="B394" s="14">
        <f>ROUND(PAGE9!$I$17,5)</f>
        <v>0</v>
      </c>
      <c r="C394" s="14">
        <f>ROUND(PAGE9!$K$17,5)</f>
        <v>0</v>
      </c>
    </row>
    <row r="395" spans="1:3">
      <c r="A395" s="93" t="e">
        <f>C1&amp;".E30.LN_BUS.STOR_COMM.OS.PUB"</f>
        <v>#N/A</v>
      </c>
      <c r="B395" s="14">
        <f>ROUND(PAGE9!$E$20,5)</f>
        <v>0</v>
      </c>
      <c r="C395" s="14">
        <f>ROUND(PAGE9!$G$20,5)</f>
        <v>0</v>
      </c>
    </row>
    <row r="396" spans="1:3">
      <c r="A396" s="93" t="e">
        <f>C1&amp;".E30.LN_BUS.STOR_COMM.OS.PVT"</f>
        <v>#N/A</v>
      </c>
      <c r="B396" s="14">
        <f>ROUND(PAGE9!$I$20,5)</f>
        <v>0</v>
      </c>
      <c r="C396" s="14">
        <f>ROUND(PAGE9!$K$20,5)</f>
        <v>0</v>
      </c>
    </row>
    <row r="397" spans="1:3">
      <c r="A397" s="93" t="e">
        <f>C1&amp;".E30.LN_BUS.OTH_TRNSPT.OS.PUB"</f>
        <v>#N/A</v>
      </c>
      <c r="B397" s="14">
        <f>ROUND(PAGE9!$E$23,5)</f>
        <v>0</v>
      </c>
      <c r="C397" s="14">
        <f>ROUND(PAGE9!$G$23,5)</f>
        <v>0</v>
      </c>
    </row>
    <row r="398" spans="1:3">
      <c r="A398" s="93" t="e">
        <f>C1&amp;".E30.LN_BUS.OTH_TRNSPT.OS.PVT"</f>
        <v>#N/A</v>
      </c>
      <c r="B398" s="14">
        <f>ROUND(PAGE9!$I$23,5)</f>
        <v>0</v>
      </c>
      <c r="C398" s="14">
        <f>ROUND(PAGE9!$K$23,5)</f>
        <v>0</v>
      </c>
    </row>
    <row r="399" spans="1:3">
      <c r="A399" s="93" t="e">
        <f>C1&amp;".E30.LN_BUS.BANKS.OS.PUB"</f>
        <v>#N/A</v>
      </c>
      <c r="B399" s="14">
        <f>ROUND(PAGE9!$E$26,5)</f>
        <v>0</v>
      </c>
      <c r="C399" s="14">
        <f>ROUND(PAGE9!$G$26,5)</f>
        <v>0</v>
      </c>
    </row>
    <row r="400" spans="1:3">
      <c r="A400" s="93" t="e">
        <f>C1&amp;".E30.LN_BUS.BANKS.OS.PVT"</f>
        <v>#N/A</v>
      </c>
      <c r="B400" s="14">
        <f>ROUND(PAGE9!$I$26,5)</f>
        <v>0</v>
      </c>
      <c r="C400" s="14">
        <f>ROUND(PAGE9!$K$26,5)</f>
        <v>0</v>
      </c>
    </row>
    <row r="401" spans="1:3">
      <c r="A401" s="93" t="e">
        <f>C1&amp;".E30.LN_BUS.LIFE_INS.OS.PUB"</f>
        <v>#N/A</v>
      </c>
      <c r="B401" s="14">
        <f>ROUND(PAGE9!$E$28,5)</f>
        <v>0</v>
      </c>
      <c r="C401" s="14">
        <f>ROUND(PAGE9!$G$28,5)</f>
        <v>0</v>
      </c>
    </row>
    <row r="402" spans="1:3">
      <c r="A402" s="93" t="e">
        <f>C1&amp;".E30.LN_BUS.LIFE_INS.OS.PVT"</f>
        <v>#N/A</v>
      </c>
      <c r="B402" s="14">
        <f>ROUND(PAGE9!$I$28,5)</f>
        <v>0</v>
      </c>
      <c r="C402" s="14">
        <f>ROUND(PAGE9!$K$28,5)</f>
        <v>0</v>
      </c>
    </row>
    <row r="403" spans="1:3">
      <c r="A403" s="93" t="e">
        <f>C1&amp;".E30.LN_BUS.NLIFE_INS.OS.PUB"</f>
        <v>#N/A</v>
      </c>
      <c r="B403" s="14">
        <f>ROUND(PAGE9!$E$30,5)</f>
        <v>0</v>
      </c>
      <c r="C403" s="14">
        <f>ROUND(PAGE9!$G$30,5)</f>
        <v>0</v>
      </c>
    </row>
    <row r="404" spans="1:3">
      <c r="A404" s="93" t="e">
        <f>C1&amp;".E30.LN_BUS.NLIFE_INS.OS.PVT"</f>
        <v>#N/A</v>
      </c>
      <c r="B404" s="14">
        <f>ROUND(PAGE9!$I$30,5)</f>
        <v>0</v>
      </c>
      <c r="C404" s="14">
        <f>ROUND(PAGE9!$K$30,5)</f>
        <v>0</v>
      </c>
    </row>
    <row r="405" spans="1:3">
      <c r="A405" s="93" t="e">
        <f>C1&amp;".E30.LN_BUS.FIN_ACCPT.OS.PUB"</f>
        <v>#N/A</v>
      </c>
      <c r="B405" s="14">
        <f>ROUND(PAGE9!$E$33,5)</f>
        <v>0</v>
      </c>
      <c r="C405" s="14">
        <f>ROUND(PAGE9!$G$33,5)</f>
        <v>0</v>
      </c>
    </row>
    <row r="406" spans="1:3">
      <c r="A406" s="93" t="e">
        <f>C1&amp;".E30.LN_BUS.FIN_ACCPT.OS.PVT"</f>
        <v>#N/A</v>
      </c>
      <c r="B406" s="14">
        <f>ROUND(PAGE9!$I$33,5)</f>
        <v>0</v>
      </c>
      <c r="C406" s="14">
        <f>ROUND(PAGE9!$K$33,5)</f>
        <v>0</v>
      </c>
    </row>
    <row r="407" spans="1:3">
      <c r="A407" s="93" t="e">
        <f>C1&amp;".E30.LN_BUS.REAL_EST.OS.PUB"</f>
        <v>#N/A</v>
      </c>
      <c r="B407" s="14">
        <f>ROUND(PAGE9!$E$35,5)</f>
        <v>0</v>
      </c>
      <c r="C407" s="14">
        <f>ROUND(PAGE9!$G$35,5)</f>
        <v>0</v>
      </c>
    </row>
    <row r="408" spans="1:3">
      <c r="A408" s="93" t="e">
        <f>C1&amp;".E30.LN_BUS.REAL_EST.OS.PVT"</f>
        <v>#N/A</v>
      </c>
      <c r="B408" s="14">
        <f>ROUND(PAGE9!$I$35,5)</f>
        <v>0</v>
      </c>
      <c r="C408" s="14">
        <f>ROUND(PAGE9!$K$35,5)</f>
        <v>0</v>
      </c>
    </row>
    <row r="409" spans="1:3">
      <c r="A409" s="93" t="e">
        <f>C1&amp;".E30.LN_BUS.ALL_OTH_BUS.OS.PUB"</f>
        <v>#N/A</v>
      </c>
      <c r="B409" s="14">
        <f>ROUND(PAGE9!$E$38,5)</f>
        <v>0</v>
      </c>
      <c r="C409" s="14">
        <f>ROUND(PAGE9!$G$38,5)</f>
        <v>0</v>
      </c>
    </row>
    <row r="410" spans="1:3">
      <c r="A410" s="93" t="e">
        <f>C1&amp;".E30.LN_BUS.ALL_OTH_BUS.OS.PVT"</f>
        <v>#N/A</v>
      </c>
      <c r="B410" s="14">
        <f>ROUND(PAGE9!$I$38,5)</f>
        <v>0</v>
      </c>
      <c r="C410" s="14">
        <f>ROUND(PAGE9!$K$38,5)</f>
        <v>0</v>
      </c>
    </row>
    <row r="411" spans="1:3">
      <c r="A411" s="93" t="e">
        <f>C1&amp;".E30.LN_BUS.EDUC_CULT.OS.PUB"</f>
        <v>#N/A</v>
      </c>
      <c r="B411" s="14">
        <f>ROUND(PAGE9!$E$41,5)</f>
        <v>0</v>
      </c>
      <c r="C411" s="14">
        <f>ROUND(PAGE9!$G$41,5)</f>
        <v>0</v>
      </c>
    </row>
    <row r="412" spans="1:3">
      <c r="A412" s="93" t="e">
        <f>C1&amp;".E30.LN_BUS.EDUC_CULT.OS.PVT"</f>
        <v>#N/A</v>
      </c>
      <c r="B412" s="14">
        <f>ROUND(PAGE9!$I$41,5)</f>
        <v>0</v>
      </c>
      <c r="C412" s="14">
        <f>ROUND(PAGE9!$K$41,5)</f>
        <v>0</v>
      </c>
    </row>
    <row r="413" spans="1:3">
      <c r="A413" s="93" t="e">
        <f>C1&amp;".E30.LN_BUS.HEALTH.OS.PUB"</f>
        <v>#N/A</v>
      </c>
      <c r="B413" s="14">
        <f>ROUND(PAGE9!$E$43,5)</f>
        <v>0</v>
      </c>
      <c r="C413" s="14">
        <f>ROUND(PAGE9!$G$43,5)</f>
        <v>0</v>
      </c>
    </row>
    <row r="414" spans="1:3">
      <c r="A414" s="93" t="e">
        <f>C1&amp;".E30.LN_BUS.HEALTH.OS.PVT"</f>
        <v>#N/A</v>
      </c>
      <c r="B414" s="14">
        <f>ROUND(PAGE9!$I$43,5)</f>
        <v>0</v>
      </c>
      <c r="C414" s="14">
        <f>ROUND(PAGE9!$K$43,5)</f>
        <v>0</v>
      </c>
    </row>
    <row r="415" spans="1:3">
      <c r="A415" s="93" t="e">
        <f>C1&amp;".E30.LN_BUS.RECR_SERV.OS.PUB"</f>
        <v>#N/A</v>
      </c>
      <c r="B415" s="14">
        <f>ROUND(PAGE9!$E$46,5)</f>
        <v>0</v>
      </c>
      <c r="C415" s="14">
        <f>ROUND(PAGE9!$G$46,5)</f>
        <v>0</v>
      </c>
    </row>
    <row r="416" spans="1:3">
      <c r="A416" s="93" t="e">
        <f>C1&amp;".E30.LN_BUS.RECR_SERV.OS.PVT"</f>
        <v>#N/A</v>
      </c>
      <c r="B416" s="14">
        <f>ROUND(PAGE9!$I$46,5)</f>
        <v>0</v>
      </c>
      <c r="C416" s="14">
        <f>ROUND(PAGE9!$K$46,5)</f>
        <v>0</v>
      </c>
    </row>
    <row r="417" spans="1:3">
      <c r="A417" s="93" t="e">
        <f>C1&amp;".E30.LN_BUS.ALL_OTH_PERSNL.OS.PUB"</f>
        <v>#N/A</v>
      </c>
      <c r="B417" s="14">
        <f>ROUND(PAGE9!$E$49,5)</f>
        <v>0</v>
      </c>
      <c r="C417" s="14">
        <f>ROUND(PAGE9!$G$49,5)</f>
        <v>0</v>
      </c>
    </row>
    <row r="418" spans="1:3">
      <c r="A418" s="93" t="e">
        <f>C1&amp;".E30.LN_BUS.ALL_OTH_PERSNL.OS.PVT"</f>
        <v>#N/A</v>
      </c>
      <c r="B418" s="14">
        <f>ROUND(PAGE9!$I$49,5)</f>
        <v>0</v>
      </c>
      <c r="C418" s="14">
        <f>ROUND(PAGE9!$K$49,5)</f>
        <v>0</v>
      </c>
    </row>
    <row r="419" spans="1:3">
      <c r="A419" s="93" t="e">
        <f>C1&amp;".E30.LN_BUS.OTH_PURP.OS.PUB"</f>
        <v>#N/A</v>
      </c>
      <c r="B419" s="14">
        <f>ROUND(PAGE9!$E$51,5)</f>
        <v>0</v>
      </c>
      <c r="C419" s="14">
        <f>ROUND(PAGE9!$G$51,5)</f>
        <v>0</v>
      </c>
    </row>
    <row r="420" spans="1:3">
      <c r="A420" s="93" t="e">
        <f>C1&amp;".E30.LN_BUS.OTH_PURP.OS.PVT"</f>
        <v>#N/A</v>
      </c>
      <c r="B420" s="14">
        <f>ROUND(PAGE9!$I$51,5)</f>
        <v>0</v>
      </c>
      <c r="C420" s="14">
        <f>ROUND(PAGE9!$K$51,5)</f>
        <v>0</v>
      </c>
    </row>
    <row r="421" spans="1:3">
      <c r="A421" s="93" t="e">
        <f>C1&amp;".E30.LN_CONSM.BRDG_FIN.OS."</f>
        <v>#N/A</v>
      </c>
      <c r="B421" s="14">
        <f>ROUND(PAGE10!$D$18,5)</f>
        <v>0</v>
      </c>
      <c r="C421" s="14">
        <f>ROUND(PAGE10!$G$18,5)</f>
        <v>0</v>
      </c>
    </row>
    <row r="422" spans="1:3">
      <c r="A422" s="93" t="e">
        <f>C1&amp;".E30.LN_CONSM.LAND_RE.OS."</f>
        <v>#N/A</v>
      </c>
      <c r="B422" s="14">
        <f>ROUND(PAGE10!$D$20,5)</f>
        <v>0</v>
      </c>
      <c r="C422" s="14">
        <f>ROUND(PAGE10!$G$20,5)</f>
        <v>0</v>
      </c>
    </row>
    <row r="423" spans="1:3">
      <c r="A423" s="93" t="e">
        <f>C1&amp;".E30.LN_CONSM.HOME_IMP.OS."</f>
        <v>#N/A</v>
      </c>
      <c r="B423" s="14">
        <f>ROUND(PAGE10!$D$22,5)</f>
        <v>0</v>
      </c>
      <c r="C423" s="14">
        <f>ROUND(PAGE10!$G$22,5)</f>
        <v>0</v>
      </c>
    </row>
    <row r="424" spans="1:3">
      <c r="A424" s="93" t="e">
        <f>C1&amp;".E30.LN_CONSM.PVT_CARS_NEW.OS."</f>
        <v>#N/A</v>
      </c>
      <c r="B424" s="14">
        <f>ROUND(PAGE10!$D$24,5)</f>
        <v>0</v>
      </c>
      <c r="C424" s="14">
        <f>ROUND(PAGE10!$G$24,5)</f>
        <v>0</v>
      </c>
    </row>
    <row r="425" spans="1:3">
      <c r="A425" s="93" t="e">
        <f>C1&amp;".E30.LN_CONSM.PVT_CARS_USED.OS."</f>
        <v>#N/A</v>
      </c>
      <c r="B425" s="14">
        <f>ROUND(PAGE10!$D$26,5)</f>
        <v>0</v>
      </c>
      <c r="C425" s="14">
        <f>ROUND(PAGE10!$G$26,5)</f>
        <v>0</v>
      </c>
    </row>
    <row r="426" spans="1:3">
      <c r="A426" s="93" t="e">
        <f>C1&amp;".E30.LN_CONSM.OTH_VEH.OS."</f>
        <v>#N/A</v>
      </c>
      <c r="B426" s="14">
        <f>ROUND(PAGE10!$D$28,5)</f>
        <v>0</v>
      </c>
      <c r="C426" s="14">
        <f>ROUND(PAGE10!$G$28,5)</f>
        <v>0</v>
      </c>
    </row>
    <row r="427" spans="1:3">
      <c r="A427" s="93" t="e">
        <f>C1&amp;".E30.LN_CONSM.ELEC_NELEC_APPL.OS."</f>
        <v>#N/A</v>
      </c>
      <c r="B427" s="14">
        <f>ROUND(PAGE10!$D$30,5)</f>
        <v>0</v>
      </c>
      <c r="C427" s="14">
        <f>ROUND(PAGE10!$G$30,5)</f>
        <v>0</v>
      </c>
    </row>
    <row r="428" spans="1:3">
      <c r="A428" s="93" t="e">
        <f>C1&amp;".E30.LN_CONSM.RADIO_MUS_INST.OS."</f>
        <v>#N/A</v>
      </c>
      <c r="B428" s="14">
        <f>ROUND(PAGE10!$D$32,5)</f>
        <v>0</v>
      </c>
      <c r="C428" s="14">
        <f>ROUND(PAGE10!$G$32,5)</f>
        <v>0</v>
      </c>
    </row>
    <row r="429" spans="1:3">
      <c r="A429" s="93" t="e">
        <f>C1&amp;".E30.LN_CONSM.OTH_FURN.OS."</f>
        <v>#N/A</v>
      </c>
      <c r="B429" s="14">
        <f>ROUND(PAGE10!$D$34,5)</f>
        <v>0</v>
      </c>
      <c r="C429" s="14">
        <f>ROUND(PAGE10!$G$34,5)</f>
        <v>0</v>
      </c>
    </row>
    <row r="430" spans="1:3">
      <c r="A430" s="93" t="e">
        <f>C1&amp;".E30.LN_CONSM.PURCH_NEW_SHARES.OS."</f>
        <v>#N/A</v>
      </c>
      <c r="B430" s="14">
        <f>ROUND(PAGE10!$D$36,5)</f>
        <v>0</v>
      </c>
      <c r="C430" s="14">
        <f>ROUND(PAGE10!$G$36,5)</f>
        <v>0</v>
      </c>
    </row>
    <row r="431" spans="1:3">
      <c r="A431" s="93" t="e">
        <f>C1&amp;".E30.LN_CONSM.PURCH_OTH_FIN_ASST.OS."</f>
        <v>#N/A</v>
      </c>
      <c r="B431" s="14">
        <f>ROUND(PAGE10!$D$38,5)</f>
        <v>0</v>
      </c>
      <c r="C431" s="14">
        <f>ROUND(PAGE10!$G$38,5)</f>
        <v>0</v>
      </c>
    </row>
    <row r="432" spans="1:3">
      <c r="A432" s="93" t="e">
        <f>C1&amp;".E30.LN_CONSM.EDUC.OS."</f>
        <v>#N/A</v>
      </c>
      <c r="B432" s="14">
        <f>ROUND(PAGE10!$D$40,5)</f>
        <v>0</v>
      </c>
      <c r="C432" s="14">
        <f>ROUND(PAGE10!$G$40,5)</f>
        <v>0</v>
      </c>
    </row>
    <row r="433" spans="1:3">
      <c r="A433" s="93" t="e">
        <f>C1&amp;".E30.LN_CONSM.MEDICAL.OS."</f>
        <v>#N/A</v>
      </c>
      <c r="B433" s="14">
        <f>ROUND(PAGE10!$D$42,5)</f>
        <v>0</v>
      </c>
      <c r="C433" s="14">
        <f>ROUND(PAGE10!$G$42,5)</f>
        <v>0</v>
      </c>
    </row>
    <row r="434" spans="1:3">
      <c r="A434" s="93" t="e">
        <f>C1&amp;".E30.LN_CONSM.TRAVEL.OS."</f>
        <v>#N/A</v>
      </c>
      <c r="B434" s="14">
        <f>ROUND(PAGE10!$D$44,5)</f>
        <v>0</v>
      </c>
      <c r="C434" s="14">
        <f>ROUND(PAGE10!$G$44,5)</f>
        <v>0</v>
      </c>
    </row>
    <row r="435" spans="1:3">
      <c r="A435" s="93" t="e">
        <f>C1&amp;".E30.LN_CONSM.INSUR.OS."</f>
        <v>#N/A</v>
      </c>
      <c r="B435" s="14">
        <f>ROUND(PAGE10!$D$46,5)</f>
        <v>0</v>
      </c>
      <c r="C435" s="14">
        <f>ROUND(PAGE10!$G$46,5)</f>
        <v>0</v>
      </c>
    </row>
    <row r="436" spans="1:3">
      <c r="A436" s="93" t="e">
        <f>C1&amp;".E30.LN_CONSM.PROF_SERV.OS."</f>
        <v>#N/A</v>
      </c>
      <c r="B436" s="14">
        <f>ROUND(PAGE10!$D$49,5)</f>
        <v>0</v>
      </c>
      <c r="C436" s="14">
        <f>ROUND(PAGE10!$G$49,5)</f>
        <v>0</v>
      </c>
    </row>
    <row r="437" spans="1:3">
      <c r="A437" s="93" t="e">
        <f>C1&amp;".E30.LN_CONSM.REFIN.OS."</f>
        <v>#N/A</v>
      </c>
      <c r="B437" s="14">
        <f>ROUND(PAGE10!$D$51,5)</f>
        <v>0</v>
      </c>
      <c r="C437" s="14">
        <f>ROUND(PAGE10!$G$51,5)</f>
        <v>0</v>
      </c>
    </row>
    <row r="438" spans="1:3">
      <c r="A438" s="93" t="e">
        <f>C1&amp;".E30.LN_CONSM.CONS_DEBT.OS."</f>
        <v>#N/A</v>
      </c>
      <c r="B438" s="14">
        <f>ROUND(PAGE10!$D$53,5)</f>
        <v>0</v>
      </c>
      <c r="C438" s="14">
        <f>ROUND(PAGE10!$G$53,5)</f>
        <v>0</v>
      </c>
    </row>
    <row r="439" spans="1:3">
      <c r="A439" s="93" t="e">
        <f>C1&amp;".E30.LN_CONSM.OTH_PURP.OS."</f>
        <v>#N/A</v>
      </c>
      <c r="B439" s="14">
        <f>ROUND(PAGE10!$D$55,5)</f>
        <v>0</v>
      </c>
      <c r="C439" s="14">
        <f>ROUND(PAGE10!$G$55,5)</f>
        <v>0</v>
      </c>
    </row>
    <row r="440" spans="1:3">
      <c r="A440" s="95" t="s">
        <v>433</v>
      </c>
      <c r="B440" s="14" t="s">
        <v>415</v>
      </c>
      <c r="C440" s="14" t="s">
        <v>416</v>
      </c>
    </row>
    <row r="441" spans="1:3">
      <c r="A441" s="90" t="e">
        <f>C1&amp;".E30."&amp;T(PAGE10!$B$57)&amp;"."</f>
        <v>#N/A</v>
      </c>
      <c r="B441" s="14">
        <f>ROUND(PAGE10!$D$57,5)</f>
        <v>0</v>
      </c>
      <c r="C441" s="14">
        <f>ROUND(PAGE10!$G$57,5)</f>
        <v>0</v>
      </c>
    </row>
    <row r="442" spans="1:3">
      <c r="A442" s="90" t="e">
        <f>C1&amp;".E30."&amp;T(PAGE10!$B$59)&amp;"."</f>
        <v>#N/A</v>
      </c>
      <c r="B442" s="14">
        <f>ROUND(PAGE10!$D$59,5)</f>
        <v>0</v>
      </c>
      <c r="C442" s="14">
        <f>ROUND(PAGE10!$G$59,5)</f>
        <v>0</v>
      </c>
    </row>
    <row r="443" spans="1:3">
      <c r="A443" s="90" t="e">
        <f>C1&amp;".E30."&amp;T(PAGE10!$B$61)&amp;"."</f>
        <v>#N/A</v>
      </c>
      <c r="B443" s="14">
        <f>ROUND(PAGE10!$D$61,5)</f>
        <v>0</v>
      </c>
      <c r="C443" s="14">
        <f>ROUND(PAGE10!$G$61,5)</f>
        <v>0</v>
      </c>
    </row>
    <row r="444" spans="1:3">
      <c r="A444" s="90" t="e">
        <f>C1&amp;".E30."&amp;T(PAGE10!$B$63)&amp;"."</f>
        <v>#N/A</v>
      </c>
      <c r="B444" s="14">
        <f>ROUND(PAGE10!$D$63,5)</f>
        <v>0</v>
      </c>
      <c r="C444" s="14">
        <f>ROUND(PAGE10!$G$63,5)</f>
        <v>0</v>
      </c>
    </row>
    <row r="445" spans="1:3">
      <c r="A445" s="90" t="e">
        <f>C1&amp;".E30."&amp;T(PAGE10!$B$65)&amp;"."</f>
        <v>#N/A</v>
      </c>
      <c r="B445" s="14">
        <f>ROUND(PAGE10!$D$65,5)</f>
        <v>0</v>
      </c>
      <c r="C445" s="14">
        <f>ROUND(PAGE10!$G$65,5)</f>
        <v>0</v>
      </c>
    </row>
    <row r="446" spans="1:3">
      <c r="A446" s="96" t="s">
        <v>434</v>
      </c>
      <c r="B446" s="14" t="s">
        <v>415</v>
      </c>
      <c r="C446" s="14" t="s">
        <v>435</v>
      </c>
    </row>
    <row r="447" spans="1:3">
      <c r="A447" s="93" t="e">
        <f>C1&amp;".E30.LN_INT.0_1_PERCT.OS."</f>
        <v>#N/A</v>
      </c>
      <c r="B447" s="14">
        <f>ROUND(PAGE11!$D$17,5)</f>
        <v>0</v>
      </c>
      <c r="C447" s="14">
        <f>ROUND(PAGE11!$I$17,5)</f>
        <v>0</v>
      </c>
    </row>
    <row r="448" spans="1:3">
      <c r="A448" s="93" t="e">
        <f>C1&amp;".E30.LN_INT.1.1_2_PERCT.OS."</f>
        <v>#N/A</v>
      </c>
      <c r="B448" s="14">
        <f>ROUND(PAGE11!$D$19,5)</f>
        <v>0</v>
      </c>
      <c r="C448" s="14">
        <f>ROUND(PAGE11!$I$19,5)</f>
        <v>0</v>
      </c>
    </row>
    <row r="449" spans="1:3">
      <c r="A449" s="93" t="e">
        <f>C1&amp;".E30.LN_INT.2.1_3_PERCT.OS."</f>
        <v>#N/A</v>
      </c>
      <c r="B449" s="14">
        <f>ROUND(PAGE11!$D$21,5)</f>
        <v>0</v>
      </c>
      <c r="C449" s="14">
        <f>ROUND(PAGE11!$I$21,5)</f>
        <v>0</v>
      </c>
    </row>
    <row r="450" spans="1:3">
      <c r="A450" s="93" t="e">
        <f>C1&amp;".E30.LN_INT.3.1_4_PERCT.OS."</f>
        <v>#N/A</v>
      </c>
      <c r="B450" s="14">
        <f>ROUND(PAGE11!$D$23,5)</f>
        <v>0</v>
      </c>
      <c r="C450" s="14">
        <f>ROUND(PAGE11!$I$23,5)</f>
        <v>0</v>
      </c>
    </row>
    <row r="451" spans="1:3">
      <c r="A451" s="93" t="e">
        <f>C1&amp;".E30.LN_INT.4.1_5_PERCT.OS."</f>
        <v>#N/A</v>
      </c>
      <c r="B451" s="14">
        <f>ROUND(PAGE11!$D$25,5)</f>
        <v>0</v>
      </c>
      <c r="C451" s="14">
        <f>ROUND(PAGE11!$I$25,5)</f>
        <v>0</v>
      </c>
    </row>
    <row r="452" spans="1:3">
      <c r="A452" s="93" t="e">
        <f>C1&amp;".E30.LN_INT.5.1_6_PERCT.OS."</f>
        <v>#N/A</v>
      </c>
      <c r="B452" s="14">
        <f>ROUND(PAGE11!$D$27,5)</f>
        <v>0</v>
      </c>
      <c r="C452" s="14">
        <f>ROUND(PAGE11!$I$27,5)</f>
        <v>0</v>
      </c>
    </row>
    <row r="453" spans="1:3">
      <c r="A453" s="93" t="e">
        <f>C1&amp;".E30.LN_INT.6.1_7_PERCT.OS."</f>
        <v>#N/A</v>
      </c>
      <c r="B453" s="14">
        <f>ROUND(PAGE11!$D$29,5)</f>
        <v>0</v>
      </c>
      <c r="C453" s="14">
        <f>ROUND(PAGE11!$I$29,5)</f>
        <v>0</v>
      </c>
    </row>
    <row r="454" spans="1:3">
      <c r="A454" s="93" t="e">
        <f>C1&amp;".E30.LN_INT.7.1_8_PERCT.OS."</f>
        <v>#N/A</v>
      </c>
      <c r="B454" s="14">
        <f>ROUND(PAGE11!$D$31,5)</f>
        <v>0</v>
      </c>
      <c r="C454" s="14">
        <f>ROUND(PAGE11!$I$31,5)</f>
        <v>0</v>
      </c>
    </row>
    <row r="455" spans="1:3">
      <c r="A455" s="93" t="e">
        <f>C1&amp;".E30.LN_INT.8.1_9_PERCT.OS."</f>
        <v>#N/A</v>
      </c>
      <c r="B455" s="14">
        <f>ROUND(PAGE11!$D$33,5)</f>
        <v>0</v>
      </c>
      <c r="C455" s="14">
        <f>ROUND(PAGE11!$I$33,5)</f>
        <v>0</v>
      </c>
    </row>
    <row r="456" spans="1:3">
      <c r="A456" s="93" t="e">
        <f>C1&amp;".E30.LN_INT.9.1_10_PERCT.OS."</f>
        <v>#N/A</v>
      </c>
      <c r="B456" s="14">
        <f>ROUND(PAGE11!$D$35,5)</f>
        <v>0</v>
      </c>
      <c r="C456" s="14">
        <f>ROUND(PAGE11!$I$35,5)</f>
        <v>0</v>
      </c>
    </row>
    <row r="457" spans="1:3">
      <c r="A457" s="93" t="e">
        <f>C1&amp;".E30.LN_INT.10.1_11_PERCT.OS."</f>
        <v>#N/A</v>
      </c>
      <c r="B457" s="14">
        <f>ROUND(PAGE11!$D$37,5)</f>
        <v>0</v>
      </c>
      <c r="C457" s="14">
        <f>ROUND(PAGE11!$I$37,5)</f>
        <v>0</v>
      </c>
    </row>
    <row r="458" spans="1:3">
      <c r="A458" s="93" t="e">
        <f>C1&amp;".E30.LN_INT.11.1_12_PERCT.OS."</f>
        <v>#N/A</v>
      </c>
      <c r="B458" s="14">
        <f>ROUND(PAGE11!$D$39,5)</f>
        <v>0</v>
      </c>
      <c r="C458" s="14">
        <f>ROUND(PAGE11!$I$39,5)</f>
        <v>0</v>
      </c>
    </row>
    <row r="459" spans="1:3">
      <c r="A459" s="93" t="e">
        <f>C1&amp;".E30.LN_INT.12.1_13_PERCT.OS."</f>
        <v>#N/A</v>
      </c>
      <c r="B459" s="14">
        <f>ROUND(PAGE11!$D$41,5)</f>
        <v>0</v>
      </c>
      <c r="C459" s="14">
        <f>ROUND(PAGE11!$I$41,5)</f>
        <v>0</v>
      </c>
    </row>
    <row r="460" spans="1:3">
      <c r="A460" s="93" t="e">
        <f>C1&amp;".E30.LN_INT.13.1_14_PERCT.OS."</f>
        <v>#N/A</v>
      </c>
      <c r="B460" s="14">
        <f>ROUND(PAGE11!$D$43,5)</f>
        <v>0</v>
      </c>
      <c r="C460" s="14">
        <f>ROUND(PAGE11!$I$43,5)</f>
        <v>0</v>
      </c>
    </row>
    <row r="461" spans="1:3">
      <c r="A461" s="93" t="e">
        <f>C1&amp;".E30.LN_INT.14.1_15_PERCT.OS."</f>
        <v>#N/A</v>
      </c>
      <c r="B461" s="14">
        <f>ROUND(PAGE11!$D$45,5)</f>
        <v>0</v>
      </c>
      <c r="C461" s="14">
        <f>ROUND(PAGE11!$I$45,5)</f>
        <v>0</v>
      </c>
    </row>
    <row r="462" spans="1:3">
      <c r="A462" s="93" t="e">
        <f>C1&amp;".E30.LN_INT.15.1_16_PERCT.OS."</f>
        <v>#N/A</v>
      </c>
      <c r="B462" s="14">
        <f>ROUND(PAGE11!$D$47,5)</f>
        <v>0</v>
      </c>
      <c r="C462" s="14">
        <f>ROUND(PAGE11!$I$47,5)</f>
        <v>0</v>
      </c>
    </row>
    <row r="463" spans="1:3">
      <c r="A463" s="93" t="e">
        <f>C1&amp;".E30.LN_INT.16.1_17_PERCT.OS."</f>
        <v>#N/A</v>
      </c>
      <c r="B463" s="14">
        <f>ROUND(PAGE11!$D$49,5)</f>
        <v>0</v>
      </c>
      <c r="C463" s="14">
        <f>ROUND(PAGE11!$I$49,5)</f>
        <v>0</v>
      </c>
    </row>
    <row r="464" spans="1:3">
      <c r="A464" s="93" t="e">
        <f>C1&amp;".E30.LN_INT.17.1_18_PERCT.OS."</f>
        <v>#N/A</v>
      </c>
      <c r="B464" s="14">
        <f>ROUND(PAGE11!$D$51,5)</f>
        <v>0</v>
      </c>
      <c r="C464" s="14">
        <f>ROUND(PAGE11!$I$51,5)</f>
        <v>0</v>
      </c>
    </row>
    <row r="465" spans="1:3">
      <c r="A465" s="93" t="e">
        <f>C1&amp;".E30.LN_INT.18.1_19_PERCT.OS."</f>
        <v>#N/A</v>
      </c>
      <c r="B465" s="14">
        <f>ROUND(PAGE11!$D$53,5)</f>
        <v>0</v>
      </c>
      <c r="C465" s="14">
        <f>ROUND(PAGE11!$I$53,5)</f>
        <v>0</v>
      </c>
    </row>
    <row r="466" spans="1:3">
      <c r="A466" s="93" t="e">
        <f>C1&amp;".E30.LN_INT.19.1_20_PERCT.OS."</f>
        <v>#N/A</v>
      </c>
      <c r="B466" s="14">
        <f>ROUND(PAGE11!$D$55,5)</f>
        <v>0</v>
      </c>
      <c r="C466" s="14">
        <f>ROUND(PAGE11!$I$55,5)</f>
        <v>0</v>
      </c>
    </row>
    <row r="467" spans="1:3">
      <c r="A467" s="93" t="e">
        <f>C1&amp;".E30.LN_INT.20.1_21_PERCT.OS."</f>
        <v>#N/A</v>
      </c>
      <c r="B467" s="14">
        <f>ROUND(PAGE11!$D$57,5)</f>
        <v>0</v>
      </c>
      <c r="C467" s="14">
        <f>ROUND(PAGE11!$I$57,5)</f>
        <v>0</v>
      </c>
    </row>
    <row r="468" spans="1:3">
      <c r="A468" s="93" t="e">
        <f>C1&amp;".E30.LN_INT.21.1_22_PERCT.OS."</f>
        <v>#N/A</v>
      </c>
      <c r="B468" s="14">
        <f>ROUND(PAGE11!$D$59,5)</f>
        <v>0</v>
      </c>
      <c r="C468" s="14">
        <f>ROUND(PAGE11!$I$59,5)</f>
        <v>0</v>
      </c>
    </row>
    <row r="469" spans="1:3">
      <c r="A469" s="93" t="e">
        <f>C1&amp;".E30.LN_INT.22.1_23_PERCT.OS."</f>
        <v>#N/A</v>
      </c>
      <c r="B469" s="14">
        <f>ROUND(PAGE11!$D$61,5)</f>
        <v>0</v>
      </c>
      <c r="C469" s="14">
        <f>ROUND(PAGE11!$I$61,5)</f>
        <v>0</v>
      </c>
    </row>
    <row r="470" spans="1:3">
      <c r="A470" s="93" t="e">
        <f>C1&amp;".E30.LN_INT.23.1_24_PERCT.OS."</f>
        <v>#N/A</v>
      </c>
      <c r="B470" s="14">
        <f>ROUND(PAGE11!$D$63,5)</f>
        <v>0</v>
      </c>
      <c r="C470" s="14">
        <f>ROUND(PAGE11!$I$63,5)</f>
        <v>0</v>
      </c>
    </row>
    <row r="471" spans="1:3">
      <c r="A471" s="93" t="e">
        <f>C1&amp;".E30.LN_INT.OVR_24_PERCT.OS."</f>
        <v>#N/A</v>
      </c>
      <c r="B471" s="14">
        <f>ROUND(PAGE11!$D$65,5)</f>
        <v>0</v>
      </c>
      <c r="C471" s="14">
        <f>ROUND(PAGE11!$I$65,5)</f>
        <v>0</v>
      </c>
    </row>
    <row r="472" spans="1:3">
      <c r="A472" s="106" t="e">
        <f>C1&amp;".E30.LN_INT.PERCT.OS."</f>
        <v>#N/A</v>
      </c>
      <c r="B472" s="14">
        <f>ROUND(PAGE11!$D$71,5)</f>
        <v>0</v>
      </c>
      <c r="C472" s="14">
        <f>ROUND(PAGE11!$I$71,5)</f>
        <v>0</v>
      </c>
    </row>
    <row r="473" spans="1:3">
      <c r="A473" s="93" t="e">
        <f>C1&amp;".E30.FOR_LN_INT.0_1_PERCT.OS."</f>
        <v>#N/A</v>
      </c>
      <c r="B473" s="14">
        <f>ROUND(PAGE12!$E$19,5)</f>
        <v>0</v>
      </c>
      <c r="C473" s="14">
        <f>ROUND(PAGE12!$I$19,5)</f>
        <v>0</v>
      </c>
    </row>
    <row r="474" spans="1:3">
      <c r="A474" s="93" t="e">
        <f>C1&amp;".E30.FOR_LN_INT.1.1_2_PERCT.OS."</f>
        <v>#N/A</v>
      </c>
      <c r="B474" s="14">
        <f>ROUND(PAGE12!$E$21,5)</f>
        <v>0</v>
      </c>
      <c r="C474" s="14">
        <f>ROUND(PAGE12!$I$21,5)</f>
        <v>0</v>
      </c>
    </row>
    <row r="475" spans="1:3">
      <c r="A475" s="93" t="e">
        <f>C1&amp;".E30.FOR_LN_INT.2.1_3_PERCT.OS."</f>
        <v>#N/A</v>
      </c>
      <c r="B475" s="14">
        <f>ROUND(PAGE12!$E$23,5)</f>
        <v>0</v>
      </c>
      <c r="C475" s="14">
        <f>ROUND(PAGE12!$I$23,5)</f>
        <v>0</v>
      </c>
    </row>
    <row r="476" spans="1:3">
      <c r="A476" s="93" t="e">
        <f>C1&amp;".E30.FOR_LN_INT.3.1_4_PERCT.OS."</f>
        <v>#N/A</v>
      </c>
      <c r="B476" s="14">
        <f>ROUND(PAGE12!$E$25,5)</f>
        <v>0</v>
      </c>
      <c r="C476" s="14">
        <f>ROUND(PAGE12!$I$25,5)</f>
        <v>0</v>
      </c>
    </row>
    <row r="477" spans="1:3">
      <c r="A477" s="93" t="e">
        <f>C1&amp;".E30.FOR_LN_INT.4.1_5_PERCT.OS."</f>
        <v>#N/A</v>
      </c>
      <c r="B477" s="14">
        <f>ROUND(PAGE12!$E$27,5)</f>
        <v>0</v>
      </c>
      <c r="C477" s="14">
        <f>ROUND(PAGE12!$I$27,5)</f>
        <v>0</v>
      </c>
    </row>
    <row r="478" spans="1:3">
      <c r="A478" s="93" t="e">
        <f>C1&amp;".E30.FOR_LN_INT.5.1_6_PERCT.OS."</f>
        <v>#N/A</v>
      </c>
      <c r="B478" s="14">
        <f>ROUND(PAGE12!$E$29,5)</f>
        <v>0</v>
      </c>
      <c r="C478" s="14">
        <f>ROUND(PAGE12!$I$29,5)</f>
        <v>0</v>
      </c>
    </row>
    <row r="479" spans="1:3">
      <c r="A479" s="93" t="e">
        <f>C1&amp;".E30.FOR_LN_INT.6.1_7_PERCT.OS."</f>
        <v>#N/A</v>
      </c>
      <c r="B479" s="14">
        <f>ROUND(PAGE12!$E$31,5)</f>
        <v>0</v>
      </c>
      <c r="C479" s="14">
        <f>ROUND(PAGE12!$I$31,5)</f>
        <v>0</v>
      </c>
    </row>
    <row r="480" spans="1:3">
      <c r="A480" s="93" t="e">
        <f>C1&amp;".E30.FOR_LN_INT.7.1_8_PERCT.OS."</f>
        <v>#N/A</v>
      </c>
      <c r="B480" s="14">
        <f>ROUND(PAGE12!$E$33,5)</f>
        <v>0</v>
      </c>
      <c r="C480" s="14">
        <f>ROUND(PAGE12!$I$33,5)</f>
        <v>0</v>
      </c>
    </row>
    <row r="481" spans="1:3">
      <c r="A481" s="93" t="e">
        <f>C1&amp;".E30.FOR_LN_INT.8.1_9_PERCT.OS."</f>
        <v>#N/A</v>
      </c>
      <c r="B481" s="14">
        <f>ROUND(PAGE12!$E$35,5)</f>
        <v>0</v>
      </c>
      <c r="C481" s="14">
        <f>ROUND(PAGE12!$I$35,5)</f>
        <v>0</v>
      </c>
    </row>
    <row r="482" spans="1:3">
      <c r="A482" s="93" t="e">
        <f>C1&amp;".E30.FOR_LN_INT.9.1_10_PERCT.OS."</f>
        <v>#N/A</v>
      </c>
      <c r="B482" s="14">
        <f>ROUND(PAGE12!$E$37,5)</f>
        <v>0</v>
      </c>
      <c r="C482" s="14">
        <f>ROUND(PAGE12!$I$37,5)</f>
        <v>0</v>
      </c>
    </row>
    <row r="483" spans="1:3">
      <c r="A483" s="93" t="e">
        <f>C1&amp;".E30.FOR_LN_INT.10.1_11_PERCT.OS."</f>
        <v>#N/A</v>
      </c>
      <c r="B483" s="14">
        <f>ROUND(PAGE12!$E$39,5)</f>
        <v>0</v>
      </c>
      <c r="C483" s="14">
        <f>ROUND(PAGE12!$I$39,5)</f>
        <v>0</v>
      </c>
    </row>
    <row r="484" spans="1:3">
      <c r="A484" s="93" t="e">
        <f>C1&amp;".E30.FOR_LN_INT.11.1_12_PERCT.OS."</f>
        <v>#N/A</v>
      </c>
      <c r="B484" s="14">
        <f>ROUND(PAGE12!$E$41,5)</f>
        <v>0</v>
      </c>
      <c r="C484" s="14">
        <f>ROUND(PAGE12!$I$41,5)</f>
        <v>0</v>
      </c>
    </row>
    <row r="485" spans="1:3">
      <c r="A485" s="93" t="e">
        <f>C1&amp;".E30.FOR_LN_INT.12.1_13_PERCT.OS."</f>
        <v>#N/A</v>
      </c>
      <c r="B485" s="14">
        <f>ROUND(PAGE12!$E$43,5)</f>
        <v>0</v>
      </c>
      <c r="C485" s="14">
        <f>ROUND(PAGE12!$I$43,5)</f>
        <v>0</v>
      </c>
    </row>
    <row r="486" spans="1:3">
      <c r="A486" s="93" t="e">
        <f>C1&amp;".E30.FOR_LN_INT.13.1_14_PERCT.OS."</f>
        <v>#N/A</v>
      </c>
      <c r="B486" s="14">
        <f>ROUND(PAGE12!$E$45,5)</f>
        <v>0</v>
      </c>
      <c r="C486" s="14">
        <f>ROUND(PAGE12!$I$45,5)</f>
        <v>0</v>
      </c>
    </row>
    <row r="487" spans="1:3">
      <c r="A487" s="93" t="e">
        <f>C1&amp;".E30.FOR_LN_INT.14.1_15_PERCT.OS."</f>
        <v>#N/A</v>
      </c>
      <c r="B487" s="14">
        <f>ROUND(PAGE12!$E$47,5)</f>
        <v>0</v>
      </c>
      <c r="C487" s="14">
        <f>ROUND(PAGE12!$I$47,5)</f>
        <v>0</v>
      </c>
    </row>
    <row r="488" spans="1:3">
      <c r="A488" s="93" t="e">
        <f>C1&amp;".E30.FOR_LN_INT.15.1_16_PERCT.OS."</f>
        <v>#N/A</v>
      </c>
      <c r="B488" s="14">
        <f>ROUND(PAGE12!$E$49,5)</f>
        <v>0</v>
      </c>
      <c r="C488" s="14">
        <f>ROUND(PAGE12!$I$49,5)</f>
        <v>0</v>
      </c>
    </row>
    <row r="489" spans="1:3">
      <c r="A489" s="93" t="e">
        <f>C1&amp;".E30.FOR_LN_INT.16.1_17_PERCT.OS."</f>
        <v>#N/A</v>
      </c>
      <c r="B489" s="14">
        <f>ROUND(PAGE12!$E$51,5)</f>
        <v>0</v>
      </c>
      <c r="C489" s="14">
        <f>ROUND(PAGE12!$I$51,5)</f>
        <v>0</v>
      </c>
    </row>
    <row r="490" spans="1:3">
      <c r="A490" s="93" t="e">
        <f>C1&amp;".E30.FOR_LN_INT.17.1_18_PERCT.OS."</f>
        <v>#N/A</v>
      </c>
      <c r="B490" s="14">
        <f>ROUND(PAGE12!$E$53,5)</f>
        <v>0</v>
      </c>
      <c r="C490" s="14">
        <f>ROUND(PAGE12!$I$53,5)</f>
        <v>0</v>
      </c>
    </row>
    <row r="491" spans="1:3">
      <c r="A491" s="93" t="e">
        <f>C1&amp;".E30.FOR_LN_INT.18.1_19_PERCT.OS."</f>
        <v>#N/A</v>
      </c>
      <c r="B491" s="14">
        <f>ROUND(PAGE12!$E$55,5)</f>
        <v>0</v>
      </c>
      <c r="C491" s="14">
        <f>ROUND(PAGE12!$I$55,5)</f>
        <v>0</v>
      </c>
    </row>
    <row r="492" spans="1:3">
      <c r="A492" s="93" t="e">
        <f>C1&amp;".E30.FOR_LN_INT.19.1_20_PERCT.OS."</f>
        <v>#N/A</v>
      </c>
      <c r="B492" s="14">
        <f>ROUND(PAGE12!$E$57,5)</f>
        <v>0</v>
      </c>
      <c r="C492" s="14">
        <f>ROUND(PAGE12!$I$57,5)</f>
        <v>0</v>
      </c>
    </row>
    <row r="493" spans="1:3">
      <c r="A493" s="93" t="e">
        <f>C1&amp;".E30.FOR_LN_INT.20.1_21_PERCT.OS."</f>
        <v>#N/A</v>
      </c>
      <c r="B493" s="14">
        <f>ROUND(PAGE12!$E$59,5)</f>
        <v>0</v>
      </c>
      <c r="C493" s="14">
        <f>ROUND(PAGE12!$I$59,5)</f>
        <v>0</v>
      </c>
    </row>
    <row r="494" spans="1:3">
      <c r="A494" s="93" t="e">
        <f>C1&amp;".E30.FOR_LN_INT.21.1_22_PERCT.OS."</f>
        <v>#N/A</v>
      </c>
      <c r="B494" s="14">
        <f>ROUND(PAGE12!$E$61,5)</f>
        <v>0</v>
      </c>
      <c r="C494" s="14">
        <f>ROUND(PAGE12!$I$61,5)</f>
        <v>0</v>
      </c>
    </row>
    <row r="495" spans="1:3">
      <c r="A495" s="93" t="e">
        <f>C1&amp;".E30.FOR_LN_INT.22.1_23_PERCT.OS."</f>
        <v>#N/A</v>
      </c>
      <c r="B495" s="14">
        <f>ROUND(PAGE12!$E$63,5)</f>
        <v>0</v>
      </c>
      <c r="C495" s="14">
        <f>ROUND(PAGE12!$I$63,5)</f>
        <v>0</v>
      </c>
    </row>
    <row r="496" spans="1:3">
      <c r="A496" s="93" t="e">
        <f>C1&amp;".E30.FOR_LN_INT.23.1_24_PERCT.OS."</f>
        <v>#N/A</v>
      </c>
      <c r="B496" s="14">
        <f>ROUND(PAGE12!$E$65,5)</f>
        <v>0</v>
      </c>
      <c r="C496" s="14">
        <f>ROUND(PAGE12!$I$65,5)</f>
        <v>0</v>
      </c>
    </row>
    <row r="497" spans="1:4">
      <c r="A497" s="93" t="e">
        <f>C1&amp;".E30.FOR_LN_INT.OVR_24_PERCT.OS."</f>
        <v>#N/A</v>
      </c>
      <c r="B497" s="14">
        <f>ROUND(PAGE12!$E$67,5)</f>
        <v>0</v>
      </c>
      <c r="C497" s="14">
        <f>ROUND(PAGE12!$I$67,5)</f>
        <v>0</v>
      </c>
    </row>
    <row r="498" spans="1:4">
      <c r="A498" s="106" t="e">
        <f>C1&amp;".E30.FOR_LN_INT.PERCT.OS."</f>
        <v>#N/A</v>
      </c>
      <c r="B498" s="14">
        <f>ROUND(PAGE12!$E$73,5)</f>
        <v>0</v>
      </c>
      <c r="C498" s="14">
        <f>ROUND(PAGE12!$I$73,5)</f>
        <v>0</v>
      </c>
    </row>
    <row r="499" spans="1:4">
      <c r="A499" s="97" t="s">
        <v>436</v>
      </c>
      <c r="B499" s="14" t="s">
        <v>437</v>
      </c>
      <c r="C499" s="14" t="s">
        <v>415</v>
      </c>
      <c r="D499" s="14" t="s">
        <v>435</v>
      </c>
    </row>
    <row r="500" spans="1:4">
      <c r="A500" s="93" t="e">
        <f>C1&amp;".E30.LN_INT.MAX_RATE.OS."</f>
        <v>#N/A</v>
      </c>
      <c r="B500" s="14">
        <f>ROUND(PAGE11!$A$69,5)</f>
        <v>0</v>
      </c>
      <c r="C500" s="14">
        <f>ROUND(PAGE11!$D$69,5)</f>
        <v>0</v>
      </c>
      <c r="D500" s="14">
        <f>ROUND(PAGE11!$I$69,5)</f>
        <v>0</v>
      </c>
    </row>
    <row r="501" spans="1:4">
      <c r="A501" s="93" t="e">
        <f>C1&amp;".E30.FOR_LN_INT.MAX_RATE.OS."</f>
        <v>#N/A</v>
      </c>
      <c r="B501" s="14">
        <f>ROUND(PAGE12!$A$71,5)</f>
        <v>0</v>
      </c>
      <c r="C501" s="14">
        <f>ROUND(PAGE12!$E$71,5)</f>
        <v>0</v>
      </c>
      <c r="D501" s="14">
        <f>ROUND(PAGE12!$I$71,5)</f>
        <v>0</v>
      </c>
    </row>
    <row r="502" spans="1:4">
      <c r="A502" s="97" t="s">
        <v>438</v>
      </c>
      <c r="B502" s="14" t="s">
        <v>415</v>
      </c>
      <c r="C502" s="14" t="s">
        <v>416</v>
      </c>
    </row>
    <row r="503" spans="1:4">
      <c r="A503" s="93" t="e">
        <f>C1&amp;".E30.LN_AGR_PER.1YR.NEW_CR."</f>
        <v>#N/A</v>
      </c>
      <c r="B503" s="14">
        <f>ROUND(PAGE13!$D$19,5)</f>
        <v>0</v>
      </c>
      <c r="C503" s="14">
        <f>ROUND(PAGE13!$H$19,5)</f>
        <v>0</v>
      </c>
    </row>
    <row r="504" spans="1:4">
      <c r="A504" s="93" t="e">
        <f>C1&amp;".E30.LN_AGR_PER.1TO2YRS.NEW_CR."</f>
        <v>#N/A</v>
      </c>
      <c r="B504" s="14">
        <f>ROUND(PAGE13!$D$21,5)</f>
        <v>0</v>
      </c>
      <c r="C504" s="14">
        <f>ROUND(PAGE13!$H$21,5)</f>
        <v>0</v>
      </c>
    </row>
    <row r="505" spans="1:4">
      <c r="A505" s="93" t="e">
        <f>C1&amp;".E30.LN_AGR_PER.2TO3YRS.NEW_CR."</f>
        <v>#N/A</v>
      </c>
      <c r="B505" s="14">
        <f>ROUND(PAGE13!$D$23,5)</f>
        <v>0</v>
      </c>
      <c r="C505" s="14">
        <f>ROUND(PAGE13!$H$23,5)</f>
        <v>0</v>
      </c>
    </row>
    <row r="506" spans="1:4">
      <c r="A506" s="93" t="e">
        <f>C1&amp;".E30.LN_AGR_PER.3TO4YRS.NEW_CR."</f>
        <v>#N/A</v>
      </c>
      <c r="B506" s="14">
        <f>ROUND(PAGE13!$D$25,5)</f>
        <v>0</v>
      </c>
      <c r="C506" s="14">
        <f>ROUND(PAGE13!$H$25,5)</f>
        <v>0</v>
      </c>
    </row>
    <row r="507" spans="1:4">
      <c r="A507" s="93" t="e">
        <f>C1&amp;".E30.LN_AGR_PER.4TO5YRS.NEW_CR."</f>
        <v>#N/A</v>
      </c>
      <c r="B507" s="14">
        <f>ROUND(PAGE13!$D$27,5)</f>
        <v>0</v>
      </c>
      <c r="C507" s="14">
        <f>ROUND(PAGE13!$H$27,5)</f>
        <v>0</v>
      </c>
    </row>
    <row r="508" spans="1:4">
      <c r="A508" s="93" t="e">
        <f>C1&amp;".E30.LN_AGR_PER.5TO6YRS.NEW_CR."</f>
        <v>#N/A</v>
      </c>
      <c r="B508" s="14">
        <f>ROUND(PAGE13!$D$29,5)</f>
        <v>0</v>
      </c>
      <c r="C508" s="14">
        <f>ROUND(PAGE13!$H$29,5)</f>
        <v>0</v>
      </c>
    </row>
    <row r="509" spans="1:4">
      <c r="A509" s="93" t="e">
        <f>C1&amp;".E30.LN_AGR_PER.6TO7YRS.NEW_CR."</f>
        <v>#N/A</v>
      </c>
      <c r="B509" s="14">
        <f>ROUND(PAGE13!$D$31,5)</f>
        <v>0</v>
      </c>
      <c r="C509" s="14">
        <f>ROUND(PAGE13!$H$31,5)</f>
        <v>0</v>
      </c>
    </row>
    <row r="510" spans="1:4">
      <c r="A510" s="93" t="e">
        <f>C1&amp;".E30.LN_AGR_PER.7TO8YRS.NEW_CR."</f>
        <v>#N/A</v>
      </c>
      <c r="B510" s="14">
        <f>ROUND(PAGE13!$D$33,5)</f>
        <v>0</v>
      </c>
      <c r="C510" s="14">
        <f>ROUND(PAGE13!$H$33,5)</f>
        <v>0</v>
      </c>
    </row>
    <row r="511" spans="1:4">
      <c r="A511" s="93" t="e">
        <f>C1&amp;".E30.LN_AGR_PER.8TO9YRS.NEW_CR."</f>
        <v>#N/A</v>
      </c>
      <c r="B511" s="14">
        <f>ROUND(PAGE13!$D$35,5)</f>
        <v>0</v>
      </c>
      <c r="C511" s="14">
        <f>ROUND(PAGE13!$H$35,5)</f>
        <v>0</v>
      </c>
    </row>
    <row r="512" spans="1:4">
      <c r="A512" s="93" t="e">
        <f>C1&amp;".E30.LN_AGR_PER.9TO10YRS.NEW_CR."</f>
        <v>#N/A</v>
      </c>
      <c r="B512" s="14">
        <f>ROUND(PAGE13!$D$37,5)</f>
        <v>0</v>
      </c>
      <c r="C512" s="14">
        <f>ROUND(PAGE13!$H$37,5)</f>
        <v>0</v>
      </c>
    </row>
    <row r="513" spans="1:5">
      <c r="A513" s="93" t="e">
        <f>C1&amp;".E30.LN_AGR_PER.10TO15YRS.NEW_CR."</f>
        <v>#N/A</v>
      </c>
      <c r="B513" s="14">
        <f>ROUND(PAGE13!$D$39,5)</f>
        <v>0</v>
      </c>
      <c r="C513" s="14">
        <f>ROUND(PAGE13!$H$39,5)</f>
        <v>0</v>
      </c>
    </row>
    <row r="514" spans="1:5">
      <c r="A514" s="93" t="e">
        <f>C1&amp;".E30.LN_AGR_PER.15TO20YRS.NEW_CR."</f>
        <v>#N/A</v>
      </c>
      <c r="B514" s="14">
        <f>ROUND(PAGE13!$D$41,5)</f>
        <v>0</v>
      </c>
      <c r="C514" s="14">
        <f>ROUND(PAGE13!$H$41,5)</f>
        <v>0</v>
      </c>
    </row>
    <row r="515" spans="1:5">
      <c r="A515" s="93" t="e">
        <f>C1&amp;".E30.LN_AGR_PER.20TO25YRS.NEW_CR."</f>
        <v>#N/A</v>
      </c>
      <c r="B515" s="14">
        <f>ROUND(PAGE13!$D$43,5)</f>
        <v>0</v>
      </c>
      <c r="C515" s="14">
        <f>ROUND(PAGE13!$H$43,5)</f>
        <v>0</v>
      </c>
    </row>
    <row r="516" spans="1:5">
      <c r="A516" s="93" t="e">
        <f>C1&amp;".E30.LN_AGR_PER.25TO30YRS.NEW_CR."</f>
        <v>#N/A</v>
      </c>
      <c r="B516" s="14">
        <f>ROUND(PAGE13!$D$45,5)</f>
        <v>0</v>
      </c>
      <c r="C516" s="14">
        <f>ROUND(PAGE13!$H$45,5)</f>
        <v>0</v>
      </c>
    </row>
    <row r="517" spans="1:5">
      <c r="A517" s="93" t="e">
        <f>C1&amp;".E30.LN_AGR_PER.OVR30YRS.NEW_CR."</f>
        <v>#N/A</v>
      </c>
      <c r="B517" s="14">
        <f>ROUND(PAGE13!$D$47,5)</f>
        <v>0</v>
      </c>
      <c r="C517" s="14">
        <f>ROUND(PAGE13!$H$47,5)</f>
        <v>0</v>
      </c>
    </row>
    <row r="518" spans="1:5">
      <c r="A518" s="93" t="e">
        <f>C1&amp;".E30.LN_AGR_PER.UNSPEC.NEW_CR."</f>
        <v>#N/A</v>
      </c>
      <c r="B518" s="14">
        <f>ROUND(PAGE13!$D$53,5)</f>
        <v>0</v>
      </c>
      <c r="C518" s="14">
        <f>ROUND(PAGE13!$H$53,5)</f>
        <v>0</v>
      </c>
    </row>
    <row r="519" spans="1:5">
      <c r="A519" s="106" t="e">
        <f>C1&amp;".E30.LN_AGR_PER.NEW_CR"</f>
        <v>#N/A</v>
      </c>
      <c r="B519" s="14">
        <f>ROUND(PAGE13!$D$55,5)</f>
        <v>0</v>
      </c>
      <c r="C519" s="14">
        <f>ROUND(PAGE13!$H$55,5)</f>
        <v>0</v>
      </c>
    </row>
    <row r="520" spans="1:5">
      <c r="A520" s="95" t="s">
        <v>439</v>
      </c>
      <c r="B520" s="14" t="s">
        <v>437</v>
      </c>
      <c r="C520" s="14" t="s">
        <v>415</v>
      </c>
      <c r="D520" s="14" t="s">
        <v>416</v>
      </c>
    </row>
    <row r="521" spans="1:5">
      <c r="A521" s="93" t="e">
        <f>C1&amp;".E30.LN_AGR_PER.MAX_PER.NEW_CR."</f>
        <v>#N/A</v>
      </c>
      <c r="B521" s="14">
        <f>ROUND(PAGE13!$A$51,5)</f>
        <v>0</v>
      </c>
      <c r="C521" s="14">
        <f>ROUND(PAGE13!$D$51,5)</f>
        <v>0</v>
      </c>
      <c r="D521" s="14">
        <f>ROUND(PAGE13!$H$51,5)</f>
        <v>0</v>
      </c>
    </row>
    <row r="522" spans="1:5">
      <c r="A522" s="95" t="s">
        <v>440</v>
      </c>
      <c r="B522" s="14" t="s">
        <v>415</v>
      </c>
      <c r="C522" s="14" t="s">
        <v>416</v>
      </c>
    </row>
    <row r="523" spans="1:5">
      <c r="A523" s="93" t="e">
        <f>C1&amp;".E30.DEP_INT.0_1_PERCT.."</f>
        <v>#N/A</v>
      </c>
      <c r="B523" s="14">
        <f>ROUND(PAGE14!$E$17,5)</f>
        <v>0</v>
      </c>
      <c r="C523" s="14">
        <f>ROUND(PAGE14!$H$17,5)</f>
        <v>0</v>
      </c>
      <c r="D523" s="89"/>
      <c r="E523" s="89"/>
    </row>
    <row r="524" spans="1:5">
      <c r="A524" s="93" t="e">
        <f>C1&amp;".E30.DEP_INT.1.1_2_PERCT.."</f>
        <v>#N/A</v>
      </c>
      <c r="B524" s="14">
        <f>ROUND(PAGE14!$E$19,5)</f>
        <v>0</v>
      </c>
      <c r="C524" s="14">
        <f>ROUND(PAGE14!$H$19,5)</f>
        <v>0</v>
      </c>
    </row>
    <row r="525" spans="1:5">
      <c r="A525" s="93" t="e">
        <f>C1&amp;".E30.DEP_INT.2.1_3_PERCT.."</f>
        <v>#N/A</v>
      </c>
      <c r="B525" s="14">
        <f>ROUND(PAGE14!$E$21,5)</f>
        <v>0</v>
      </c>
      <c r="C525" s="14">
        <f>ROUND(PAGE14!$H$21,5)</f>
        <v>0</v>
      </c>
    </row>
    <row r="526" spans="1:5">
      <c r="A526" s="93" t="e">
        <f>C1&amp;".E30.DEP_INT.3.1_4_PERCT.."</f>
        <v>#N/A</v>
      </c>
      <c r="B526" s="14">
        <f>ROUND(PAGE14!$E$23,5)</f>
        <v>0</v>
      </c>
      <c r="C526" s="14">
        <f>ROUND(PAGE14!$H$23,5)</f>
        <v>0</v>
      </c>
    </row>
    <row r="527" spans="1:5">
      <c r="A527" s="93" t="e">
        <f>C1&amp;".E30.DEP_INT.4.1_5_PERCT.."</f>
        <v>#N/A</v>
      </c>
      <c r="B527" s="14">
        <f>ROUND(PAGE14!$E$25,5)</f>
        <v>0</v>
      </c>
      <c r="C527" s="14">
        <f>ROUND(PAGE14!$H$25,5)</f>
        <v>0</v>
      </c>
    </row>
    <row r="528" spans="1:5">
      <c r="A528" s="93" t="e">
        <f>C1&amp;".E30.DEP_INT.5.1_6_PERCT.."</f>
        <v>#N/A</v>
      </c>
      <c r="B528" s="14">
        <f>ROUND(PAGE14!$E$27,5)</f>
        <v>0</v>
      </c>
      <c r="C528" s="14">
        <f>ROUND(PAGE14!$H$27,5)</f>
        <v>0</v>
      </c>
    </row>
    <row r="529" spans="1:3">
      <c r="A529" s="93" t="e">
        <f>C1&amp;".E30.DEP_INT.6.1_7_PERCT.."</f>
        <v>#N/A</v>
      </c>
      <c r="B529" s="14">
        <f>ROUND(PAGE14!$E$29,5)</f>
        <v>0</v>
      </c>
      <c r="C529" s="14">
        <f>ROUND(PAGE14!$H$29,5)</f>
        <v>0</v>
      </c>
    </row>
    <row r="530" spans="1:3">
      <c r="A530" s="93" t="e">
        <f>C1&amp;".E30.DEP_INT.7.1_8_PERCT.."</f>
        <v>#N/A</v>
      </c>
      <c r="B530" s="14">
        <f>ROUND(PAGE14!$E$31,5)</f>
        <v>0</v>
      </c>
      <c r="C530" s="14">
        <f>ROUND(PAGE14!$H$31,5)</f>
        <v>0</v>
      </c>
    </row>
    <row r="531" spans="1:3">
      <c r="A531" s="93" t="e">
        <f>C1&amp;".E30.DEP_INT.8.1_9_PERCT.."</f>
        <v>#N/A</v>
      </c>
      <c r="B531" s="14">
        <f>ROUND(PAGE14!$E$33,5)</f>
        <v>0</v>
      </c>
      <c r="C531" s="14">
        <f>ROUND(PAGE14!$H$33,5)</f>
        <v>0</v>
      </c>
    </row>
    <row r="532" spans="1:3">
      <c r="A532" s="93" t="e">
        <f>C1&amp;".E30.DEP_INT.9.1_10_PERCT.."</f>
        <v>#N/A</v>
      </c>
      <c r="B532" s="14">
        <f>ROUND(PAGE14!$E$35,5)</f>
        <v>0</v>
      </c>
      <c r="C532" s="14">
        <f>ROUND(PAGE14!$H$35,5)</f>
        <v>0</v>
      </c>
    </row>
    <row r="533" spans="1:3">
      <c r="A533" s="93" t="e">
        <f>C1&amp;".E30.DEP_INT.10.1_11_PERCT.."</f>
        <v>#N/A</v>
      </c>
      <c r="B533" s="14">
        <f>ROUND(PAGE14!$E$37,5)</f>
        <v>0</v>
      </c>
      <c r="C533" s="14">
        <f>ROUND(PAGE14!$H$37,5)</f>
        <v>0</v>
      </c>
    </row>
    <row r="534" spans="1:3">
      <c r="A534" s="93" t="e">
        <f>C1&amp;".E30.DEP_INT.11.1_12_PERCT.."</f>
        <v>#N/A</v>
      </c>
      <c r="B534" s="14">
        <f>ROUND(PAGE14!$E$39,5)</f>
        <v>0</v>
      </c>
      <c r="C534" s="14">
        <f>ROUND(PAGE14!$H$39,5)</f>
        <v>0</v>
      </c>
    </row>
    <row r="535" spans="1:3">
      <c r="A535" s="93" t="e">
        <f>C1&amp;".E30.DEP_INT.12.1_13_PERCT.."</f>
        <v>#N/A</v>
      </c>
      <c r="B535" s="14">
        <f>ROUND(PAGE14!$E$41,5)</f>
        <v>0</v>
      </c>
      <c r="C535" s="14">
        <f>ROUND(PAGE14!$H$41,5)</f>
        <v>0</v>
      </c>
    </row>
    <row r="536" spans="1:3">
      <c r="A536" s="93" t="e">
        <f>C1&amp;".E30.DEP_INT.13.1_14_PERCT.."</f>
        <v>#N/A</v>
      </c>
      <c r="B536" s="14">
        <f>ROUND(PAGE14!$E$43,5)</f>
        <v>0</v>
      </c>
      <c r="C536" s="14">
        <f>ROUND(PAGE14!$H$43,5)</f>
        <v>0</v>
      </c>
    </row>
    <row r="537" spans="1:3">
      <c r="A537" s="93" t="e">
        <f>C1&amp;".E30.DEP_INT.14.1_15_PERCT.."</f>
        <v>#N/A</v>
      </c>
      <c r="B537" s="14">
        <f>ROUND(PAGE14!$E$45,5)</f>
        <v>0</v>
      </c>
      <c r="C537" s="14">
        <f>ROUND(PAGE14!$H$45,5)</f>
        <v>0</v>
      </c>
    </row>
    <row r="538" spans="1:3">
      <c r="A538" s="106" t="e">
        <f>C1&amp;".E30.DEP_INT.PERCT."</f>
        <v>#N/A</v>
      </c>
      <c r="B538" s="14">
        <f>ROUND(PAGE14!$E$51,5)</f>
        <v>0</v>
      </c>
      <c r="C538" s="14">
        <f>ROUND(PAGE14!$H$51,5)</f>
        <v>0</v>
      </c>
    </row>
    <row r="539" spans="1:3">
      <c r="A539" s="93" t="e">
        <f>C1&amp;".E30.FOR_DEP_INT.0_1_PERCT.."</f>
        <v>#N/A</v>
      </c>
      <c r="B539" s="14">
        <f>ROUND(PAGE15!$D$19,5)</f>
        <v>0</v>
      </c>
      <c r="C539" s="14">
        <f>ROUND(PAGE15!$H$19,5)</f>
        <v>0</v>
      </c>
    </row>
    <row r="540" spans="1:3">
      <c r="A540" s="93" t="e">
        <f>C1&amp;".E30.FOR_DEP_INT.1.1_2_PERCT.."</f>
        <v>#N/A</v>
      </c>
      <c r="B540" s="14">
        <f>ROUND(PAGE15!$D$21,5)</f>
        <v>0</v>
      </c>
      <c r="C540" s="14">
        <f>ROUND(PAGE15!$H$21,5)</f>
        <v>0</v>
      </c>
    </row>
    <row r="541" spans="1:3">
      <c r="A541" s="93" t="e">
        <f>C1&amp;".E30.FOR_DEP_INT.2.1_3_PERCT.."</f>
        <v>#N/A</v>
      </c>
      <c r="B541" s="14">
        <f>ROUND(PAGE15!$D$23,5)</f>
        <v>0</v>
      </c>
      <c r="C541" s="14">
        <f>ROUND(PAGE15!$H$23,5)</f>
        <v>0</v>
      </c>
    </row>
    <row r="542" spans="1:3">
      <c r="A542" s="93" t="e">
        <f>C1&amp;".E30.FOR_DEP_INT.3.1_4_PERCT.."</f>
        <v>#N/A</v>
      </c>
      <c r="B542" s="14">
        <f>ROUND(PAGE15!$D$25,5)</f>
        <v>0</v>
      </c>
      <c r="C542" s="14">
        <f>ROUND(PAGE15!$H$25,5)</f>
        <v>0</v>
      </c>
    </row>
    <row r="543" spans="1:3">
      <c r="A543" s="93" t="e">
        <f>C1&amp;".E30.FOR_DEP_INT.4.1_5_PERCT.."</f>
        <v>#N/A</v>
      </c>
      <c r="B543" s="14">
        <f>ROUND(PAGE15!$D$27,5)</f>
        <v>0</v>
      </c>
      <c r="C543" s="14">
        <f>ROUND(PAGE15!$H$27,5)</f>
        <v>0</v>
      </c>
    </row>
    <row r="544" spans="1:3">
      <c r="A544" s="93" t="e">
        <f>C1&amp;".E30.FOR_DEP_INT.5.1_6_PERCT.."</f>
        <v>#N/A</v>
      </c>
      <c r="B544" s="14">
        <f>ROUND(PAGE15!$D$29,5)</f>
        <v>0</v>
      </c>
      <c r="C544" s="14">
        <f>ROUND(PAGE15!$H$29,5)</f>
        <v>0</v>
      </c>
    </row>
    <row r="545" spans="1:4">
      <c r="A545" s="93" t="e">
        <f>C1&amp;".E30.FOR_DEP_INT.6.1_7_PERCT.."</f>
        <v>#N/A</v>
      </c>
      <c r="B545" s="14">
        <f>ROUND(PAGE15!$D$31,5)</f>
        <v>0</v>
      </c>
      <c r="C545" s="14">
        <f>ROUND(PAGE15!$H$31,5)</f>
        <v>0</v>
      </c>
    </row>
    <row r="546" spans="1:4">
      <c r="A546" s="93" t="e">
        <f>C1&amp;".E30.FOR_DEP_INT.7.1_8_PERCT.."</f>
        <v>#N/A</v>
      </c>
      <c r="B546" s="14">
        <f>ROUND(PAGE15!$D$33,5)</f>
        <v>0</v>
      </c>
      <c r="C546" s="14">
        <f>ROUND(PAGE15!$H$33,5)</f>
        <v>0</v>
      </c>
    </row>
    <row r="547" spans="1:4">
      <c r="A547" s="93" t="e">
        <f>C1&amp;".E30.FOR_DEP_INT.8.1_9_PERCT.."</f>
        <v>#N/A</v>
      </c>
      <c r="B547" s="14">
        <f>ROUND(PAGE15!$D$35,5)</f>
        <v>0</v>
      </c>
      <c r="C547" s="14">
        <f>ROUND(PAGE15!$H$35,5)</f>
        <v>0</v>
      </c>
    </row>
    <row r="548" spans="1:4">
      <c r="A548" s="93" t="e">
        <f>C1&amp;".E30.FOR_DEP_INT.9.1_10_PERCT.."</f>
        <v>#N/A</v>
      </c>
      <c r="B548" s="14">
        <f>ROUND(PAGE15!$D$37,5)</f>
        <v>0</v>
      </c>
      <c r="C548" s="14">
        <f>ROUND(PAGE15!$H$37,5)</f>
        <v>0</v>
      </c>
    </row>
    <row r="549" spans="1:4">
      <c r="A549" s="93" t="e">
        <f>C1&amp;".E30.FOR_DEP_INT.10.1_11_PERCT.."</f>
        <v>#N/A</v>
      </c>
      <c r="B549" s="14">
        <f>ROUND(PAGE15!$D$39,5)</f>
        <v>0</v>
      </c>
      <c r="C549" s="14">
        <f>ROUND(PAGE15!$H$39,5)</f>
        <v>0</v>
      </c>
    </row>
    <row r="550" spans="1:4">
      <c r="A550" s="93" t="e">
        <f>C1&amp;".E30.FOR_DEP_INT.11.1_12_PERCT.."</f>
        <v>#N/A</v>
      </c>
      <c r="B550" s="14">
        <f>ROUND(PAGE15!$D$41,5)</f>
        <v>0</v>
      </c>
      <c r="C550" s="14">
        <f>ROUND(PAGE15!$H$41,5)</f>
        <v>0</v>
      </c>
    </row>
    <row r="551" spans="1:4">
      <c r="A551" s="93" t="e">
        <f>C1&amp;".E30.FOR_DEP_INT.12.1_13_PERCT.."</f>
        <v>#N/A</v>
      </c>
      <c r="B551" s="14">
        <f>ROUND(PAGE15!$D$43,5)</f>
        <v>0</v>
      </c>
      <c r="C551" s="14">
        <f>ROUND(PAGE15!$H$43,5)</f>
        <v>0</v>
      </c>
    </row>
    <row r="552" spans="1:4">
      <c r="A552" s="93" t="e">
        <f>C1&amp;".E30.FOR_DEP_INT.13.1_14_PERCT.."</f>
        <v>#N/A</v>
      </c>
      <c r="B552" s="14">
        <f>ROUND(PAGE15!$D$45,5)</f>
        <v>0</v>
      </c>
      <c r="C552" s="14">
        <f>ROUND(PAGE15!$H$45,5)</f>
        <v>0</v>
      </c>
    </row>
    <row r="553" spans="1:4">
      <c r="A553" s="93" t="e">
        <f>C1&amp;".E30.FOR_DEP_INT.14.1_15_PERCT.."</f>
        <v>#N/A</v>
      </c>
      <c r="B553" s="14">
        <f>ROUND(PAGE15!$D$47,5)</f>
        <v>0</v>
      </c>
      <c r="C553" s="14">
        <f>ROUND(PAGE15!$H$47,5)</f>
        <v>0</v>
      </c>
    </row>
    <row r="554" spans="1:4">
      <c r="A554" s="106" t="e">
        <f>C1&amp;".E30.FOR_DEP_INT.PERCT."</f>
        <v>#N/A</v>
      </c>
      <c r="B554" s="14">
        <f>ROUND(PAGE15!$D$53,5)</f>
        <v>0</v>
      </c>
      <c r="C554" s="14">
        <f>ROUND(PAGE15!$H$53,5)</f>
        <v>0</v>
      </c>
    </row>
    <row r="555" spans="1:4">
      <c r="A555" s="97" t="s">
        <v>441</v>
      </c>
      <c r="B555" s="14" t="s">
        <v>437</v>
      </c>
      <c r="C555" s="14" t="s">
        <v>415</v>
      </c>
      <c r="D555" s="14" t="s">
        <v>416</v>
      </c>
    </row>
    <row r="556" spans="1:4">
      <c r="A556" s="93" t="e">
        <f>C1&amp;".E30.DEP_INT.MAX_RATE.."</f>
        <v>#N/A</v>
      </c>
      <c r="B556" s="14">
        <f>ROUND(PAGE14!$A$49,5)</f>
        <v>0</v>
      </c>
      <c r="C556" s="14">
        <f>ROUND(PAGE14!$E$49,5)</f>
        <v>0</v>
      </c>
      <c r="D556" s="14">
        <f>ROUND(PAGE14!$H$49,5)</f>
        <v>0</v>
      </c>
    </row>
    <row r="557" spans="1:4">
      <c r="A557" s="93" t="e">
        <f>C1&amp;".E30.FOR_DEP_INT.MAX_RATE.."</f>
        <v>#N/A</v>
      </c>
      <c r="B557" s="14">
        <f>ROUND(PAGE15!$A$51,5)</f>
        <v>0</v>
      </c>
      <c r="C557" s="14">
        <f>ROUND(PAGE15!$D$51,5)</f>
        <v>0</v>
      </c>
      <c r="D557" s="14">
        <f>ROUND(PAGE15!$H$51,5)</f>
        <v>0</v>
      </c>
    </row>
    <row r="558" spans="1:4">
      <c r="A558" s="97" t="s">
        <v>442</v>
      </c>
      <c r="B558" s="14" t="s">
        <v>416</v>
      </c>
      <c r="C558" s="14"/>
    </row>
    <row r="559" spans="1:4">
      <c r="A559" s="93" t="e">
        <f>C1&amp;".E30.TR_FNDS.DMN_DEP.."</f>
        <v>#N/A</v>
      </c>
      <c r="B559" s="14">
        <f>ROUND(PAGE16!$I$15,5)</f>
        <v>0</v>
      </c>
      <c r="C559" s="14"/>
    </row>
    <row r="560" spans="1:4">
      <c r="A560" s="93" t="e">
        <f>C1&amp;".E30.TR_FNDS.SAV_DEP.."</f>
        <v>#N/A</v>
      </c>
      <c r="B560" s="14">
        <f>ROUND(PAGE16!$I$17,5)</f>
        <v>0</v>
      </c>
      <c r="C560" s="14"/>
    </row>
    <row r="561" spans="1:13" s="89" customFormat="1">
      <c r="A561" s="93" t="e">
        <f>C1&amp;".E30.TR_FNDS.FXD_DEP_CBNKS.."</f>
        <v>#N/A</v>
      </c>
      <c r="B561" s="14">
        <f>ROUND(PAGE16!$I$19,5)</f>
        <v>0</v>
      </c>
      <c r="C561" s="14"/>
      <c r="L561" s="14"/>
      <c r="M561" s="14"/>
    </row>
    <row r="562" spans="1:13" s="89" customFormat="1">
      <c r="A562" s="93" t="e">
        <f>C1&amp;".E30.TR_FNDS.FXD_DEP_NFI.."</f>
        <v>#N/A</v>
      </c>
      <c r="B562" s="14">
        <f>ROUND(PAGE16!$I$21,5)</f>
        <v>0</v>
      </c>
      <c r="C562" s="14"/>
      <c r="L562" s="14"/>
      <c r="M562" s="14"/>
    </row>
    <row r="563" spans="1:13" s="89" customFormat="1">
      <c r="A563" s="93" t="e">
        <f>C1&amp;".E30.TR_FNDS.GVT_SEC_LOCAL.."</f>
        <v>#N/A</v>
      </c>
      <c r="B563" s="14">
        <f>ROUND(PAGE16!$I$23,5)</f>
        <v>0</v>
      </c>
      <c r="C563" s="14"/>
      <c r="L563" s="14"/>
      <c r="M563" s="14"/>
    </row>
    <row r="564" spans="1:13" s="89" customFormat="1">
      <c r="A564" s="93" t="e">
        <f>C1&amp;".E30.TR_FNDS.GVT_SEC_FOR.."</f>
        <v>#N/A</v>
      </c>
      <c r="B564" s="14">
        <f>ROUND(PAGE16!$I$25,5)</f>
        <v>0</v>
      </c>
      <c r="C564" s="14"/>
      <c r="L564" s="14"/>
      <c r="M564" s="14"/>
    </row>
    <row r="565" spans="1:13" s="89" customFormat="1">
      <c r="A565" s="93" t="e">
        <f>C1&amp;".E30.TR_FNDS.CO_EQTY_LOCAL.."</f>
        <v>#N/A</v>
      </c>
      <c r="B565" s="14">
        <f>ROUND(PAGE16!$I$27,5)</f>
        <v>0</v>
      </c>
      <c r="C565" s="14"/>
      <c r="L565" s="14"/>
      <c r="M565" s="14"/>
    </row>
    <row r="566" spans="1:13" s="89" customFormat="1">
      <c r="A566" s="93" t="e">
        <f>C1&amp;".E30.TR_FNDS.CO_EQTY_FOR.."</f>
        <v>#N/A</v>
      </c>
      <c r="B566" s="14">
        <f>ROUND(PAGE16!$I$29,5)</f>
        <v>0</v>
      </c>
      <c r="C566" s="14"/>
      <c r="L566" s="14"/>
      <c r="M566" s="14"/>
    </row>
    <row r="567" spans="1:13" s="89" customFormat="1">
      <c r="A567" s="93" t="e">
        <f>C1&amp;".E30.TR_FNDS.RE_MRTG_LNS_TTL.."</f>
        <v>#N/A</v>
      </c>
      <c r="B567" s="14">
        <f>ROUND(PAGE16!$I$31,5)</f>
        <v>0</v>
      </c>
      <c r="C567" s="14"/>
      <c r="L567" s="14"/>
      <c r="M567" s="14"/>
    </row>
    <row r="568" spans="1:13" s="89" customFormat="1">
      <c r="A568" s="93" t="e">
        <f>C1&amp;".E30.TR_FNDS.RE_MRTG_LNS_RES.."</f>
        <v>#N/A</v>
      </c>
      <c r="B568" s="14">
        <f>ROUND(PAGE16!$I$33,5)</f>
        <v>0</v>
      </c>
      <c r="C568" s="14"/>
      <c r="L568" s="14"/>
      <c r="M568" s="14"/>
    </row>
    <row r="569" spans="1:13" s="89" customFormat="1">
      <c r="A569" s="93" t="e">
        <f>C1&amp;".E30.TR_FNDS.RE_MRTG_LNS_NRES.."</f>
        <v>#N/A</v>
      </c>
      <c r="B569" s="14">
        <f>ROUND(PAGE16!$I$35,5)</f>
        <v>0</v>
      </c>
      <c r="C569" s="14"/>
      <c r="L569" s="14"/>
      <c r="M569" s="14"/>
    </row>
    <row r="570" spans="1:13" s="89" customFormat="1">
      <c r="A570" s="93" t="e">
        <f>C1&amp;".E30.TR_FNDS.OTH_LNS.."</f>
        <v>#N/A</v>
      </c>
      <c r="B570" s="14">
        <f>ROUND(PAGE16!$I$37,5)</f>
        <v>0</v>
      </c>
      <c r="C570" s="14"/>
      <c r="L570" s="14"/>
      <c r="M570" s="14"/>
    </row>
    <row r="571" spans="1:13" s="89" customFormat="1">
      <c r="A571" s="93" t="e">
        <f>C1&amp;".E30.TR_FNDS.RE.."</f>
        <v>#N/A</v>
      </c>
      <c r="B571" s="14">
        <f>ROUND(PAGE16!$I$39,5)</f>
        <v>0</v>
      </c>
      <c r="C571" s="14"/>
      <c r="L571" s="14"/>
      <c r="M571" s="14"/>
    </row>
    <row r="572" spans="1:13" s="89" customFormat="1">
      <c r="A572" s="93" t="e">
        <f>C1&amp;".E30.TR_FNDS.OTH_FXD_ASST.."</f>
        <v>#N/A</v>
      </c>
      <c r="B572" s="14">
        <f>ROUND(PAGE16!$I$41,5)</f>
        <v>0</v>
      </c>
      <c r="C572" s="14"/>
      <c r="L572" s="14"/>
      <c r="M572" s="14"/>
    </row>
    <row r="573" spans="1:13" s="89" customFormat="1">
      <c r="A573" s="93" t="e">
        <f>C1&amp;".E30.TR_FNDS.OTH_SPEC.."</f>
        <v>#N/A</v>
      </c>
      <c r="B573" s="14">
        <f>ROUND(PAGE16!$I$43,5)</f>
        <v>0</v>
      </c>
      <c r="C573" s="14"/>
      <c r="L573" s="14"/>
      <c r="M573" s="14"/>
    </row>
    <row r="574" spans="1:13" s="89" customFormat="1">
      <c r="A574" s="93" t="e">
        <f>C1&amp;".E30."&amp;T(PAGE16!$B$45)&amp;".."</f>
        <v>#N/A</v>
      </c>
      <c r="B574" s="14">
        <f>ROUND(PAGE16!$I$45,5)</f>
        <v>0</v>
      </c>
      <c r="C574" s="14"/>
      <c r="L574" s="14"/>
      <c r="M574" s="14"/>
    </row>
    <row r="575" spans="1:13" s="89" customFormat="1">
      <c r="A575" s="93" t="e">
        <f>C1&amp;".E30."&amp;T(PAGE16!$B$47)&amp;".."</f>
        <v>#N/A</v>
      </c>
      <c r="B575" s="14">
        <f>ROUND(PAGE16!$I$47,5)</f>
        <v>0</v>
      </c>
      <c r="C575" s="14"/>
      <c r="L575" s="14"/>
      <c r="M575" s="14"/>
    </row>
    <row r="576" spans="1:13" s="89" customFormat="1">
      <c r="A576" s="93" t="e">
        <f>C1&amp;".E30."&amp;T(PAGE16!$B$49)&amp;".."</f>
        <v>#N/A</v>
      </c>
      <c r="B576" s="14">
        <f>ROUND(PAGE16!$I$49,5)</f>
        <v>0</v>
      </c>
      <c r="C576" s="14"/>
      <c r="L576" s="14"/>
      <c r="M576" s="14"/>
    </row>
    <row r="577" spans="1:13" s="89" customFormat="1">
      <c r="A577" s="93" t="e">
        <f>C1&amp;".E30."&amp;T(PAGE16!$B$51)&amp;".."</f>
        <v>#N/A</v>
      </c>
      <c r="B577" s="14">
        <f>ROUND(PAGE16!$I$51,5)</f>
        <v>0</v>
      </c>
      <c r="C577" s="14"/>
      <c r="L577" s="14"/>
      <c r="M577" s="14"/>
    </row>
    <row r="578" spans="1:13" s="89" customFormat="1">
      <c r="A578" s="93" t="e">
        <f>C1&amp;".E30."&amp;T(PAGE16!$B$53)&amp;".."</f>
        <v>#N/A</v>
      </c>
      <c r="B578" s="14">
        <f>ROUND(PAGE16!$I$53,5)</f>
        <v>0</v>
      </c>
      <c r="C578" s="14"/>
      <c r="L578" s="14"/>
      <c r="M578" s="14"/>
    </row>
    <row r="579" spans="1:13" s="89" customFormat="1">
      <c r="A579" s="93" t="e">
        <f>C1&amp;".E30."&amp;T(PAGE16!$B$55)&amp;".."</f>
        <v>#N/A</v>
      </c>
      <c r="B579" s="14">
        <f>ROUND(PAGE16!$I$55,5)</f>
        <v>0</v>
      </c>
      <c r="C579" s="14"/>
      <c r="L579" s="14"/>
      <c r="M579" s="14"/>
    </row>
    <row r="580" spans="1:13" s="89" customFormat="1">
      <c r="A580" s="93" t="e">
        <f>C1&amp;".E30."&amp;T(PAGE16!$B$57)&amp;".."</f>
        <v>#N/A</v>
      </c>
      <c r="B580" s="14">
        <f>ROUND(PAGE16!$I$57,5)</f>
        <v>0</v>
      </c>
      <c r="C580" s="14"/>
      <c r="L580" s="14"/>
      <c r="M580" s="14"/>
    </row>
    <row r="581" spans="1:13" s="89" customFormat="1">
      <c r="A581" s="108" t="e">
        <f>C1&amp;".E30.TR_FNDS.TTL"</f>
        <v>#N/A</v>
      </c>
      <c r="B581" s="14">
        <f>ROUND(PAGE16!$I$60,5)</f>
        <v>0</v>
      </c>
      <c r="C581" s="14"/>
      <c r="L581" s="14"/>
      <c r="M581" s="14"/>
    </row>
  </sheetData>
  <sheetProtection algorithmName="SHA-512" hashValue="gm7795msarGRvS+mjffF2Q7RJIkgAJoNV9FE/HL5pIknCooQuqL8fhkXRGO3hb8PybG0BZdkdwnYPDHKW05Puw==" saltValue="gUu6EFmilRv2aTXNKi8Twg==" spinCount="100000" sheet="1" selectLockedCells="1"/>
  <dataValidations count="1">
    <dataValidation allowBlank="1" showInputMessage="1" showErrorMessage="1" error="DO NOT TYPE UPDATED VIA COVER PG" prompt="DO NOT TYPE UPDATED VIA COVER PG" sqref="C1:C2 A2" xr:uid="{00000000-0002-0000-0300-000000000000}"/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247"/>
  <sheetViews>
    <sheetView zoomScaleNormal="100" workbookViewId="0">
      <selection activeCell="A2" sqref="A2"/>
    </sheetView>
  </sheetViews>
  <sheetFormatPr defaultColWidth="9.42578125" defaultRowHeight="12.75"/>
  <cols>
    <col min="1" max="1" width="58.140625" style="102" customWidth="1"/>
    <col min="2" max="2" width="26.7109375" style="138" customWidth="1"/>
    <col min="3" max="3" width="37" style="138" customWidth="1"/>
    <col min="4" max="4" width="15.5703125" style="138" customWidth="1"/>
    <col min="5" max="16384" width="9.42578125" style="138"/>
  </cols>
  <sheetData>
    <row r="1" spans="1:3" ht="21.75" customHeight="1" thickBot="1">
      <c r="A1" s="180" t="s">
        <v>757</v>
      </c>
      <c r="B1" s="180" t="e">
        <f ca="1">(TEXT(MID(RIGHT(MID(CELL("filename",'COVER PAGE'!A1),FIND("[",CELL("filename",'COVER PAGE'!A1))+1,FIND("]", CELL("filename",'COVER PAGE'!A1))-FIND("[",CELL("filename",'COVER PAGE'!A1))-1),LEN(MID(CELL("filename",'COVER PAGE'!A1),FIND("[",CELL("filename",'COVER PAGE'!A1))+1,FIND("]", CELL("filename",'COVER PAGE'!A1))-FIND("[",CELL("filename",'COVER PAGE'!A1))-1))-FIND("~",SUBSTITUTE(MID(CELL("filename",'COVER PAGE'!A1),FIND("[",CELL("filename",'COVER PAGE'!A1))+1,FIND("]", CELL("filename",'COVER PAGE'!A1))-FIND("[",CELL("filename",'COVER PAGE'!A1))-1),"_","~",3))),1,7),"yyyy-MM-dd"))=(TEXT(TEXT(DATE(YEAR('COVER PAGE'!F10),MONTH(DATEVALUE('COVER PAGE'!F9 &amp; 1)),"1"),"MMM-YYYY"),"yyyy-MM-dd"))</f>
        <v>#VALUE!</v>
      </c>
      <c r="C1" s="179" t="e">
        <f ca="1">IF(B1=TRUE,0,1)</f>
        <v>#VALUE!</v>
      </c>
    </row>
    <row r="2" spans="1:3" ht="21.75" thickBot="1">
      <c r="A2" s="181" t="s">
        <v>25</v>
      </c>
      <c r="B2" s="211" t="s">
        <v>581</v>
      </c>
      <c r="C2" s="182" t="s">
        <v>669</v>
      </c>
    </row>
    <row r="3" spans="1:3" ht="21.75" thickBot="1">
      <c r="A3" s="183" t="e">
        <f>VLOOKUP('COVER PAGE'!C7,Controls!B4:C27,1,FALSE)</f>
        <v>#N/A</v>
      </c>
      <c r="B3" s="212"/>
      <c r="C3" s="179" t="e">
        <f ca="1">SUM(COUNTIF(B7:B234,{"&gt;0.00001","&lt;-0.00001"}))+C1</f>
        <v>#VALUE!</v>
      </c>
    </row>
    <row r="4" spans="1:3" ht="12.75" customHeight="1">
      <c r="A4" s="98"/>
      <c r="B4" s="139"/>
      <c r="C4" s="140"/>
    </row>
    <row r="5" spans="1:3" ht="21.75" customHeight="1">
      <c r="A5" s="99" t="s">
        <v>582</v>
      </c>
      <c r="B5" s="141"/>
    </row>
    <row r="6" spans="1:3" ht="12.75" customHeight="1">
      <c r="A6" s="98"/>
      <c r="B6" s="141"/>
    </row>
    <row r="7" spans="1:3" ht="27" customHeight="1">
      <c r="A7" s="101" t="s">
        <v>583</v>
      </c>
      <c r="B7" s="176">
        <f>ROUND(CB30ASCL2!B14-CB30ASCL2!B5-CB30ASCL2!B8-CB30ASCL2!B11,5)</f>
        <v>0</v>
      </c>
    </row>
    <row r="8" spans="1:3" ht="27" customHeight="1">
      <c r="A8" s="101" t="s">
        <v>584</v>
      </c>
      <c r="B8" s="176">
        <f>ROUND(CB30ASCL2!C14-CB30ASCL2!C5-CB30ASCL2!C8-CB30ASCL2!C11,5)</f>
        <v>0</v>
      </c>
    </row>
    <row r="9" spans="1:3" ht="27" customHeight="1">
      <c r="A9" s="142" t="s">
        <v>585</v>
      </c>
      <c r="B9" s="176">
        <f>ROUND(CB30ASCL2!B15-CB30ASCL2!B6-CB30ASCL2!B9-CB30ASCL2!B12,5)</f>
        <v>0</v>
      </c>
    </row>
    <row r="10" spans="1:3" ht="27" customHeight="1">
      <c r="A10" s="101" t="s">
        <v>586</v>
      </c>
      <c r="B10" s="176">
        <f>ROUND(CB30ASCL2!C15-CB30ASCL2!C6-CB30ASCL2!C9-CB30ASCL2!C12,5)</f>
        <v>0</v>
      </c>
    </row>
    <row r="11" spans="1:3" ht="27" customHeight="1">
      <c r="A11" s="101" t="s">
        <v>587</v>
      </c>
      <c r="B11" s="176">
        <f>ROUND(CB30ASCL2!B16-CB30ASCL2!B7-CB30ASCL2!B10-CB30ASCL2!B13,5)</f>
        <v>0</v>
      </c>
    </row>
    <row r="12" spans="1:3" ht="27" customHeight="1">
      <c r="A12" s="142" t="s">
        <v>588</v>
      </c>
      <c r="B12" s="176">
        <f>ROUND(CB30ASCL2!C16-CB30ASCL2!C7-CB30ASCL2!C10-CB30ASCL2!C13,5)</f>
        <v>0</v>
      </c>
    </row>
    <row r="13" spans="1:3" ht="12.75" customHeight="1">
      <c r="A13" s="142"/>
      <c r="B13" s="176"/>
    </row>
    <row r="14" spans="1:3" ht="27" customHeight="1">
      <c r="A14" s="101" t="s">
        <v>670</v>
      </c>
      <c r="B14" s="176">
        <f>ROUND(CB30ASCL2!B26-CB30ASCL2!B17-CB30ASCL2!B20-CB30ASCL2!B23,5)</f>
        <v>0</v>
      </c>
    </row>
    <row r="15" spans="1:3" ht="27" customHeight="1">
      <c r="A15" s="101" t="s">
        <v>671</v>
      </c>
      <c r="B15" s="176">
        <f>ROUND(CB30ASCL2!C26-CB30ASCL2!C17-CB30ASCL2!C20-CB30ASCL2!C23,5)</f>
        <v>0</v>
      </c>
    </row>
    <row r="16" spans="1:3" ht="27" customHeight="1">
      <c r="A16" s="142" t="s">
        <v>672</v>
      </c>
      <c r="B16" s="176">
        <f>ROUND(CB30ASCL2!B27-CB30ASCL2!B18-CB30ASCL2!B21-CB30ASCL2!B24,5)</f>
        <v>0</v>
      </c>
    </row>
    <row r="17" spans="1:2" ht="27" customHeight="1">
      <c r="A17" s="101" t="s">
        <v>673</v>
      </c>
      <c r="B17" s="176">
        <f>ROUND(CB30ASCL2!C27-CB30ASCL2!C18-CB30ASCL2!C21-CB30ASCL2!C24,5)</f>
        <v>0</v>
      </c>
    </row>
    <row r="18" spans="1:2" ht="27" customHeight="1">
      <c r="A18" s="101" t="s">
        <v>674</v>
      </c>
      <c r="B18" s="176">
        <f>ROUND(CB30ASCL2!B28-CB30ASCL2!B19-CB30ASCL2!B22-CB30ASCL2!B25,5)</f>
        <v>0</v>
      </c>
    </row>
    <row r="19" spans="1:2" ht="27" customHeight="1">
      <c r="A19" s="142" t="s">
        <v>675</v>
      </c>
      <c r="B19" s="176">
        <f>ROUND(CB30ASCL2!C28-CB30ASCL2!C19-CB30ASCL2!C22-CB30ASCL2!C25,5)</f>
        <v>0</v>
      </c>
    </row>
    <row r="20" spans="1:2" ht="12.75" customHeight="1">
      <c r="A20" s="142"/>
      <c r="B20" s="176"/>
    </row>
    <row r="21" spans="1:2" ht="27" customHeight="1">
      <c r="A21" s="101" t="s">
        <v>700</v>
      </c>
      <c r="B21" s="176">
        <f>ROUND(CB30ASCL2!B38-CB30ASCL2!B29-CB30ASCL2!B32-CB30ASCL2!B35,5)</f>
        <v>0</v>
      </c>
    </row>
    <row r="22" spans="1:2" ht="27" customHeight="1">
      <c r="A22" s="101" t="s">
        <v>701</v>
      </c>
      <c r="B22" s="176">
        <f>ROUND(CB30ASCL2!C38-CB30ASCL2!C29-CB30ASCL2!C32-CB30ASCL2!C35,5)</f>
        <v>0</v>
      </c>
    </row>
    <row r="23" spans="1:2" ht="27" customHeight="1">
      <c r="A23" s="142" t="s">
        <v>702</v>
      </c>
      <c r="B23" s="176">
        <f>ROUND(CB30ASCL2!B39-CB30ASCL2!B30-CB30ASCL2!B33-CB30ASCL2!B36,5)</f>
        <v>0</v>
      </c>
    </row>
    <row r="24" spans="1:2" ht="27" customHeight="1">
      <c r="A24" s="101" t="s">
        <v>703</v>
      </c>
      <c r="B24" s="176">
        <f>ROUND(CB30ASCL2!C39-CB30ASCL2!C30-CB30ASCL2!C33-CB30ASCL2!C36,5)</f>
        <v>0</v>
      </c>
    </row>
    <row r="25" spans="1:2" ht="27" customHeight="1">
      <c r="A25" s="101" t="s">
        <v>704</v>
      </c>
      <c r="B25" s="176">
        <f>ROUND(CB30ASCL2!B40-CB30ASCL2!B31-CB30ASCL2!B34-CB30ASCL2!B37,5)</f>
        <v>0</v>
      </c>
    </row>
    <row r="26" spans="1:2" ht="27" customHeight="1">
      <c r="A26" s="142" t="s">
        <v>705</v>
      </c>
      <c r="B26" s="176">
        <f>ROUND(CB30ASCL2!C40-CB30ASCL2!C31-CB30ASCL2!C34-CB30ASCL2!C37,5)</f>
        <v>0</v>
      </c>
    </row>
    <row r="27" spans="1:2" ht="12.75" customHeight="1">
      <c r="A27" s="142"/>
      <c r="B27" s="176"/>
    </row>
    <row r="28" spans="1:2" ht="27" customHeight="1">
      <c r="A28" s="101" t="s">
        <v>718</v>
      </c>
      <c r="B28" s="176">
        <f>ROUND(CB30ASCL2!B50-CB30ASCL2!B41-CB30ASCL2!B44-CB30ASCL2!B47,5)</f>
        <v>0</v>
      </c>
    </row>
    <row r="29" spans="1:2" ht="27" customHeight="1">
      <c r="A29" s="101" t="s">
        <v>719</v>
      </c>
      <c r="B29" s="176">
        <f>ROUND(CB30ASCL2!C50-CB30ASCL2!C41-CB30ASCL2!C44-CB30ASCL2!C47,5)</f>
        <v>0</v>
      </c>
    </row>
    <row r="30" spans="1:2" ht="27" customHeight="1">
      <c r="A30" s="142" t="s">
        <v>720</v>
      </c>
      <c r="B30" s="176">
        <f>ROUND(CB30ASCL2!B51-CB30ASCL2!B42-CB30ASCL2!B45-CB30ASCL2!B48,5)</f>
        <v>0</v>
      </c>
    </row>
    <row r="31" spans="1:2" ht="27" customHeight="1">
      <c r="A31" s="101" t="s">
        <v>721</v>
      </c>
      <c r="B31" s="176">
        <f>ROUND(CB30ASCL2!C51-CB30ASCL2!C42-CB30ASCL2!C45-CB30ASCL2!C48,5)</f>
        <v>0</v>
      </c>
    </row>
    <row r="32" spans="1:2" ht="27" customHeight="1">
      <c r="A32" s="101" t="s">
        <v>722</v>
      </c>
      <c r="B32" s="176">
        <f>ROUND(CB30ASCL2!B52-CB30ASCL2!B43-CB30ASCL2!B46-CB30ASCL2!B49,5)</f>
        <v>0</v>
      </c>
    </row>
    <row r="33" spans="1:2" ht="27" customHeight="1">
      <c r="A33" s="142" t="s">
        <v>723</v>
      </c>
      <c r="B33" s="176">
        <f>ROUND(CB30ASCL2!C52-CB30ASCL2!C43-CB30ASCL2!C46-CB30ASCL2!C49,5)</f>
        <v>0</v>
      </c>
    </row>
    <row r="34" spans="1:2" ht="12.75" customHeight="1">
      <c r="A34" s="142"/>
      <c r="B34" s="176"/>
    </row>
    <row r="35" spans="1:2" ht="27" customHeight="1">
      <c r="A35" s="101" t="s">
        <v>682</v>
      </c>
      <c r="B35" s="176">
        <f>ROUND(CB30ASCL2!B62-CB30ASCL2!B53-CB30ASCL2!B56-CB30ASCL2!B59,5)</f>
        <v>0</v>
      </c>
    </row>
    <row r="36" spans="1:2" ht="27" customHeight="1">
      <c r="A36" s="101" t="s">
        <v>683</v>
      </c>
      <c r="B36" s="176">
        <f>ROUND(CB30ASCL2!C62-CB30ASCL2!C53-CB30ASCL2!C56-CB30ASCL2!C59,5)</f>
        <v>0</v>
      </c>
    </row>
    <row r="37" spans="1:2" ht="27" customHeight="1">
      <c r="A37" s="142" t="s">
        <v>684</v>
      </c>
      <c r="B37" s="176">
        <f>ROUND(CB30ASCL2!B63-CB30ASCL2!B54-CB30ASCL2!B57-CB30ASCL2!B60,5)</f>
        <v>0</v>
      </c>
    </row>
    <row r="38" spans="1:2" ht="27" customHeight="1">
      <c r="A38" s="101" t="s">
        <v>685</v>
      </c>
      <c r="B38" s="176">
        <f>ROUND(CB30ASCL2!C63-CB30ASCL2!C54-CB30ASCL2!C57-CB30ASCL2!C60,5)</f>
        <v>0</v>
      </c>
    </row>
    <row r="39" spans="1:2" ht="27" customHeight="1">
      <c r="A39" s="101" t="s">
        <v>686</v>
      </c>
      <c r="B39" s="176">
        <f>ROUND(CB30ASCL2!B64-CB30ASCL2!B55-CB30ASCL2!B58-CB30ASCL2!B61,5)</f>
        <v>0</v>
      </c>
    </row>
    <row r="40" spans="1:2" ht="27" customHeight="1">
      <c r="A40" s="142" t="s">
        <v>687</v>
      </c>
      <c r="B40" s="176">
        <f>ROUND(CB30ASCL2!C64-CB30ASCL2!C55-CB30ASCL2!C58-CB30ASCL2!C61,5)</f>
        <v>0</v>
      </c>
    </row>
    <row r="41" spans="1:2" ht="12.75" customHeight="1">
      <c r="A41" s="142"/>
      <c r="B41" s="176"/>
    </row>
    <row r="42" spans="1:2" ht="38.25">
      <c r="A42" s="142" t="s">
        <v>736</v>
      </c>
      <c r="B42" s="176">
        <f>ROUND(CB30ASCL2!B65-CB30ASCL2!B14-CB30ASCL2!B26-CB30ASCL2!B38-CB30ASCL2!B50-CB30ASCL2!B62,5)</f>
        <v>0</v>
      </c>
    </row>
    <row r="43" spans="1:2" ht="38.25">
      <c r="A43" s="142" t="s">
        <v>737</v>
      </c>
      <c r="B43" s="176">
        <f>ROUND(CB30ASCL2!C65-CB30ASCL2!C14-CB30ASCL2!C26-CB30ASCL2!C38-CB30ASCL2!C50-CB30ASCL2!C62,5)</f>
        <v>0</v>
      </c>
    </row>
    <row r="44" spans="1:2" ht="38.25">
      <c r="A44" s="142" t="s">
        <v>738</v>
      </c>
      <c r="B44" s="176">
        <f>ROUND(CB30ASCL2!B66-CB30ASCL2!B15-CB30ASCL2!B27-CB30ASCL2!B39-CB30ASCL2!B51-CB30ASCL2!B63,5)</f>
        <v>0</v>
      </c>
    </row>
    <row r="45" spans="1:2" ht="38.25">
      <c r="A45" s="142" t="s">
        <v>739</v>
      </c>
      <c r="B45" s="176">
        <f>ROUND(CB30ASCL2!C66-CB30ASCL2!C15-CB30ASCL2!C27-CB30ASCL2!C39-CB30ASCL2!C51-CB30ASCL2!C63,5)</f>
        <v>0</v>
      </c>
    </row>
    <row r="46" spans="1:2" ht="38.25">
      <c r="A46" s="142" t="s">
        <v>740</v>
      </c>
      <c r="B46" s="176">
        <f>ROUND(CB30ASCL2!B67-CB30ASCL2!B16-CB30ASCL2!B28-CB30ASCL2!B40-CB30ASCL2!B52-CB30ASCL2!B64,5)</f>
        <v>0</v>
      </c>
    </row>
    <row r="47" spans="1:2" ht="38.25">
      <c r="A47" s="142" t="s">
        <v>741</v>
      </c>
      <c r="B47" s="176">
        <f>ROUND(CB30ASCL2!C67-CB30ASCL2!C16-CB30ASCL2!C28-CB30ASCL2!C40-CB30ASCL2!C52-CB30ASCL2!C64,5)</f>
        <v>0</v>
      </c>
    </row>
    <row r="48" spans="1:2" ht="12.75" customHeight="1">
      <c r="A48" s="103"/>
      <c r="B48" s="177"/>
    </row>
    <row r="49" spans="1:2" ht="12.75" customHeight="1">
      <c r="A49" s="100"/>
      <c r="B49" s="176"/>
    </row>
    <row r="50" spans="1:2" ht="21.75" customHeight="1">
      <c r="A50" s="104" t="s">
        <v>589</v>
      </c>
      <c r="B50" s="176"/>
    </row>
    <row r="51" spans="1:2" ht="12.75" customHeight="1">
      <c r="A51" s="100"/>
      <c r="B51" s="176"/>
    </row>
    <row r="52" spans="1:2" ht="25.5">
      <c r="A52" s="100" t="s">
        <v>590</v>
      </c>
      <c r="B52" s="176">
        <f>ROUND(CB30ASCL2!B84-CB30ASCL2!B68-CB30ASCL2!B71-CB30ASCL2!B74-CB30ASCL2!B77-CB30ASCL2!B80,5)</f>
        <v>0</v>
      </c>
    </row>
    <row r="53" spans="1:2" ht="25.5">
      <c r="A53" s="100" t="s">
        <v>591</v>
      </c>
      <c r="B53" s="176">
        <f>ROUND(CB30ASCL2!C84-CB30ASCL2!C68-CB30ASCL2!C71-CB30ASCL2!C74-CB30ASCL2!C77-CB30ASCL2!C80,5)</f>
        <v>0</v>
      </c>
    </row>
    <row r="54" spans="1:2" ht="12.75" customHeight="1">
      <c r="A54" s="100"/>
      <c r="B54" s="176"/>
    </row>
    <row r="55" spans="1:2" ht="27" customHeight="1">
      <c r="A55" s="100" t="s">
        <v>592</v>
      </c>
      <c r="B55" s="176">
        <f>ROUND(CB30ASCL2!B85-CB30ASCL2!B69-CB30ASCL2!B72-CB30ASCL2!B75-CB30ASCL2!B78-CB30ASCL2!B81,5)</f>
        <v>0</v>
      </c>
    </row>
    <row r="56" spans="1:2" ht="27" customHeight="1">
      <c r="A56" s="100" t="s">
        <v>593</v>
      </c>
      <c r="B56" s="176">
        <f>ROUND(CB30ASCL2!C85-CB30ASCL2!C69-CB30ASCL2!C72-CB30ASCL2!C75-CB30ASCL2!C78-CB30ASCL2!C81,5)</f>
        <v>0</v>
      </c>
    </row>
    <row r="57" spans="1:2" ht="12.75" customHeight="1">
      <c r="A57" s="100"/>
      <c r="B57" s="176"/>
    </row>
    <row r="58" spans="1:2" ht="38.25">
      <c r="A58" s="100" t="s">
        <v>594</v>
      </c>
      <c r="B58" s="176">
        <f>ROUND(CB30ASCL2!B86-CB30ASCL2!B70-CB30ASCL2!B73-CB30ASCL2!B76-CB30ASCL2!B79-CB30ASCL2!B82,5)</f>
        <v>0</v>
      </c>
    </row>
    <row r="59" spans="1:2" ht="38.25">
      <c r="A59" s="100" t="s">
        <v>595</v>
      </c>
      <c r="B59" s="176">
        <f>ROUND(CB30ASCL2!C86-CB30ASCL2!C70-CB30ASCL2!C73-CB30ASCL2!C76-CB30ASCL2!C79-CB30ASCL2!C82,5)</f>
        <v>0</v>
      </c>
    </row>
    <row r="60" spans="1:2" ht="12.75" customHeight="1">
      <c r="A60" s="103"/>
      <c r="B60" s="177"/>
    </row>
    <row r="61" spans="1:2" ht="12.75" customHeight="1">
      <c r="A61" s="100"/>
      <c r="B61" s="176"/>
    </row>
    <row r="62" spans="1:2" ht="21.75" customHeight="1">
      <c r="A62" s="104" t="s">
        <v>596</v>
      </c>
      <c r="B62" s="176"/>
    </row>
    <row r="63" spans="1:2" ht="12.75" customHeight="1">
      <c r="A63" s="100"/>
      <c r="B63" s="176"/>
    </row>
    <row r="64" spans="1:2" ht="25.5">
      <c r="A64" s="101" t="s">
        <v>597</v>
      </c>
      <c r="B64" s="176">
        <f>ROUND(CB30ASCL2!B97-CB30ASCL2!B91-CB30ASCL2!B94,5)</f>
        <v>0</v>
      </c>
    </row>
    <row r="65" spans="1:2" ht="25.5">
      <c r="A65" s="101" t="s">
        <v>598</v>
      </c>
      <c r="B65" s="176">
        <f>ROUND(CB30ASCL2!C97-CB30ASCL2!C91-CB30ASCL2!C94,5)</f>
        <v>0</v>
      </c>
    </row>
    <row r="66" spans="1:2" ht="12.75" customHeight="1">
      <c r="A66" s="143"/>
      <c r="B66" s="176"/>
    </row>
    <row r="67" spans="1:2" ht="25.5">
      <c r="A67" s="101" t="s">
        <v>599</v>
      </c>
      <c r="B67" s="176">
        <f>ROUND(CB30ASCL2!B98-CB30ASCL2!B92-CB30ASCL2!B95,5)</f>
        <v>0</v>
      </c>
    </row>
    <row r="68" spans="1:2" ht="25.5">
      <c r="A68" s="101" t="s">
        <v>600</v>
      </c>
      <c r="B68" s="176">
        <f>ROUND(CB30ASCL2!C98-CB30ASCL2!C92-CB30ASCL2!C95,5)</f>
        <v>0</v>
      </c>
    </row>
    <row r="69" spans="1:2" ht="12.75" customHeight="1">
      <c r="A69" s="101"/>
      <c r="B69" s="176"/>
    </row>
    <row r="70" spans="1:2" ht="25.5">
      <c r="A70" s="101" t="s">
        <v>601</v>
      </c>
      <c r="B70" s="176">
        <f>ROUND(CB30ASCL2!B99-CB30ASCL2!B93-CB30ASCL2!B96,5)</f>
        <v>0</v>
      </c>
    </row>
    <row r="71" spans="1:2" ht="25.5">
      <c r="A71" s="101" t="s">
        <v>602</v>
      </c>
      <c r="B71" s="176">
        <f>ROUND(CB30ASCL2!C99-CB30ASCL2!C93-CB30ASCL2!C96,5)</f>
        <v>0</v>
      </c>
    </row>
    <row r="72" spans="1:2" ht="12.75" customHeight="1">
      <c r="A72" s="101"/>
      <c r="B72" s="176"/>
    </row>
    <row r="73" spans="1:2" ht="25.5">
      <c r="A73" s="101" t="s">
        <v>603</v>
      </c>
      <c r="B73" s="176">
        <f>ROUND(CB30ASCL2!B105-CB30ASCL2!B101-CB30ASCL2!B103,5)</f>
        <v>0</v>
      </c>
    </row>
    <row r="74" spans="1:2" ht="25.5">
      <c r="A74" s="101" t="s">
        <v>604</v>
      </c>
      <c r="B74" s="176">
        <f>ROUND(CB30ASCL2!C105-CB30ASCL2!C101-CB30ASCL2!C103,5)</f>
        <v>0</v>
      </c>
    </row>
    <row r="75" spans="1:2" ht="25.5">
      <c r="A75" s="101" t="s">
        <v>605</v>
      </c>
      <c r="B75" s="176">
        <f>ROUND(CB30ASCL2!D105-CB30ASCL2!D101-CB30ASCL2!D103,5)</f>
        <v>0</v>
      </c>
    </row>
    <row r="76" spans="1:2" ht="12.75" customHeight="1">
      <c r="A76" s="101"/>
      <c r="B76" s="176"/>
    </row>
    <row r="77" spans="1:2" ht="25.5">
      <c r="A77" s="101" t="s">
        <v>606</v>
      </c>
      <c r="B77" s="176">
        <f>ROUND(CB30ASCL2!B106-CB30ASCL2!B102-CB30ASCL2!B104,5)</f>
        <v>0</v>
      </c>
    </row>
    <row r="78" spans="1:2" ht="25.5">
      <c r="A78" s="101" t="s">
        <v>607</v>
      </c>
      <c r="B78" s="176">
        <f>ROUND(CB30ASCL2!C106-CB30ASCL2!C102-CB30ASCL2!C104,5)</f>
        <v>0</v>
      </c>
    </row>
    <row r="79" spans="1:2" ht="25.5">
      <c r="A79" s="101" t="s">
        <v>608</v>
      </c>
      <c r="B79" s="176">
        <f>ROUND(CB30ASCL2!D106-CB30ASCL2!D102-CB30ASCL2!D104,5)</f>
        <v>0</v>
      </c>
    </row>
    <row r="80" spans="1:2" ht="12.75" customHeight="1">
      <c r="A80" s="101"/>
      <c r="B80" s="176"/>
    </row>
    <row r="81" spans="1:2" ht="25.5">
      <c r="A81" s="101" t="s">
        <v>609</v>
      </c>
      <c r="B81" s="176">
        <f>ROUND(CB30ASCL2!B112-CB30ASCL2!B108-CB30ASCL2!B111,5)</f>
        <v>0</v>
      </c>
    </row>
    <row r="82" spans="1:2" ht="25.5">
      <c r="A82" s="101" t="s">
        <v>610</v>
      </c>
      <c r="B82" s="176">
        <f>ROUND(CB30ASCL2!C112-CB30ASCL2!C108-CB30ASCL2!C111,5)</f>
        <v>0</v>
      </c>
    </row>
    <row r="83" spans="1:2" ht="12.75" customHeight="1">
      <c r="A83" s="103"/>
      <c r="B83" s="177"/>
    </row>
    <row r="84" spans="1:2" ht="12.75" customHeight="1">
      <c r="A84" s="100"/>
      <c r="B84" s="176"/>
    </row>
    <row r="85" spans="1:2" ht="21.75" customHeight="1">
      <c r="A85" s="104" t="s">
        <v>611</v>
      </c>
      <c r="B85" s="176"/>
    </row>
    <row r="86" spans="1:2" ht="12.75" customHeight="1">
      <c r="A86" s="100"/>
      <c r="B86" s="176"/>
    </row>
    <row r="87" spans="1:2" ht="27" customHeight="1">
      <c r="A87" s="101" t="s">
        <v>612</v>
      </c>
      <c r="B87" s="176">
        <f>ROUND(CB30ASCL2!B125-CB30ASCL2!B113-CB30ASCL2!B116-CB30ASCL2!B119-CB30ASCL2!B122,5)</f>
        <v>0</v>
      </c>
    </row>
    <row r="88" spans="1:2" ht="27" customHeight="1">
      <c r="A88" s="101" t="s">
        <v>613</v>
      </c>
      <c r="B88" s="176">
        <f>ROUND(CB30ASCL2!C125-CB30ASCL2!C113-CB30ASCL2!C116-CB30ASCL2!C119-CB30ASCL2!C122,5)</f>
        <v>0</v>
      </c>
    </row>
    <row r="89" spans="1:2" ht="27" customHeight="1">
      <c r="A89" s="142" t="s">
        <v>614</v>
      </c>
      <c r="B89" s="176">
        <f>ROUND(CB30ASCL2!B126-CB30ASCL2!B114-CB30ASCL2!B117-CB30ASCL2!B120-CB30ASCL2!B123,5)</f>
        <v>0</v>
      </c>
    </row>
    <row r="90" spans="1:2" ht="25.5">
      <c r="A90" s="101" t="s">
        <v>615</v>
      </c>
      <c r="B90" s="176">
        <f>ROUND(CB30ASCL2!C126-CB30ASCL2!C114-CB30ASCL2!C117-CB30ASCL2!C120-CB30ASCL2!C123,5)</f>
        <v>0</v>
      </c>
    </row>
    <row r="91" spans="1:2" ht="27" customHeight="1">
      <c r="A91" s="101" t="s">
        <v>616</v>
      </c>
      <c r="B91" s="176">
        <f>ROUND(CB30ASCL2!B127-CB30ASCL2!B115-CB30ASCL2!B118-CB30ASCL2!B121-CB30ASCL2!B124,5)</f>
        <v>0</v>
      </c>
    </row>
    <row r="92" spans="1:2" ht="38.25">
      <c r="A92" s="142" t="s">
        <v>617</v>
      </c>
      <c r="B92" s="176">
        <f>ROUND(CB30ASCL2!C127-CB30ASCL2!C115-CB30ASCL2!C118-CB30ASCL2!C121-CB30ASCL2!C124,5)</f>
        <v>0</v>
      </c>
    </row>
    <row r="93" spans="1:2" ht="12.75" customHeight="1">
      <c r="A93" s="142"/>
      <c r="B93" s="176"/>
    </row>
    <row r="94" spans="1:2" ht="26.1" customHeight="1">
      <c r="A94" s="101" t="s">
        <v>618</v>
      </c>
      <c r="B94" s="176">
        <f>ROUND(CB30ASCL2!B140-CB30ASCL2!B128-CB30ASCL2!B131-CB30ASCL2!B134-CB30ASCL2!B137,5)</f>
        <v>0</v>
      </c>
    </row>
    <row r="95" spans="1:2" ht="27" customHeight="1">
      <c r="A95" s="101" t="s">
        <v>619</v>
      </c>
      <c r="B95" s="176">
        <f>ROUND(CB30ASCL2!C140-CB30ASCL2!C128-CB30ASCL2!C131-CB30ASCL2!C134-CB30ASCL2!C137,5)</f>
        <v>0</v>
      </c>
    </row>
    <row r="96" spans="1:2" ht="38.25">
      <c r="A96" s="142" t="s">
        <v>620</v>
      </c>
      <c r="B96" s="176">
        <f>ROUND(CB30ASCL2!B141-CB30ASCL2!B129-CB30ASCL2!B132-CB30ASCL2!B135-CB30ASCL2!B138,5)</f>
        <v>0</v>
      </c>
    </row>
    <row r="97" spans="1:2" ht="27.6" customHeight="1">
      <c r="A97" s="101" t="s">
        <v>621</v>
      </c>
      <c r="B97" s="176">
        <f>ROUND(CB30ASCL2!C141-CB30ASCL2!C129-CB30ASCL2!C132-CB30ASCL2!C135-CB30ASCL2!C138,5)</f>
        <v>0</v>
      </c>
    </row>
    <row r="98" spans="1:2" ht="38.25">
      <c r="A98" s="101" t="s">
        <v>622</v>
      </c>
      <c r="B98" s="176">
        <f>ROUND(CB30ASCL2!B142-CB30ASCL2!B130-CB30ASCL2!B133-CB30ASCL2!B136-CB30ASCL2!B139,5)</f>
        <v>0</v>
      </c>
    </row>
    <row r="99" spans="1:2" ht="38.25">
      <c r="A99" s="142" t="s">
        <v>623</v>
      </c>
      <c r="B99" s="176">
        <f>ROUND(CB30ASCL2!C142-CB30ASCL2!C130-CB30ASCL2!C133-CB30ASCL2!C136-CB30ASCL2!C139,5)</f>
        <v>0</v>
      </c>
    </row>
    <row r="100" spans="1:2" ht="12.75" customHeight="1">
      <c r="A100" s="142"/>
      <c r="B100" s="176"/>
    </row>
    <row r="101" spans="1:2" ht="26.1" customHeight="1">
      <c r="A101" s="101" t="s">
        <v>706</v>
      </c>
      <c r="B101" s="176">
        <f>ROUND(CB30ASCL2!B155-CB30ASCL2!B143-CB30ASCL2!B146-CB30ASCL2!B149-CB30ASCL2!B152,5)</f>
        <v>0</v>
      </c>
    </row>
    <row r="102" spans="1:2" ht="27" customHeight="1">
      <c r="A102" s="101" t="s">
        <v>707</v>
      </c>
      <c r="B102" s="176">
        <f>ROUND(CB30ASCL2!C155-CB30ASCL2!C143-CB30ASCL2!C146-CB30ASCL2!C149-CB30ASCL2!C152,5)</f>
        <v>0</v>
      </c>
    </row>
    <row r="103" spans="1:2" ht="27" customHeight="1">
      <c r="A103" s="142" t="s">
        <v>708</v>
      </c>
      <c r="B103" s="176">
        <f>ROUND(CB30ASCL2!B156-CB30ASCL2!B144-CB30ASCL2!B147-CB30ASCL2!B150-CB30ASCL2!B153,5)</f>
        <v>0</v>
      </c>
    </row>
    <row r="104" spans="1:2" ht="27" customHeight="1">
      <c r="A104" s="101" t="s">
        <v>709</v>
      </c>
      <c r="B104" s="176">
        <f>ROUND(CB30ASCL2!C156-CB30ASCL2!C144-CB30ASCL2!C147-CB30ASCL2!C150-CB30ASCL2!C153,5)</f>
        <v>0</v>
      </c>
    </row>
    <row r="105" spans="1:2" ht="38.25">
      <c r="A105" s="101" t="s">
        <v>710</v>
      </c>
      <c r="B105" s="176">
        <f>ROUND(CB30ASCL2!B157-CB30ASCL2!B145-CB30ASCL2!B148-CB30ASCL2!B151-CB30ASCL2!B154,5)</f>
        <v>0</v>
      </c>
    </row>
    <row r="106" spans="1:2" ht="38.25">
      <c r="A106" s="142" t="s">
        <v>711</v>
      </c>
      <c r="B106" s="176">
        <f>ROUND(CB30ASCL2!C157-CB30ASCL2!C145-CB30ASCL2!C148-CB30ASCL2!C151-CB30ASCL2!C154,5)</f>
        <v>0</v>
      </c>
    </row>
    <row r="107" spans="1:2" ht="12.75" customHeight="1">
      <c r="A107" s="142"/>
      <c r="B107" s="176"/>
    </row>
    <row r="108" spans="1:2" ht="27" customHeight="1">
      <c r="A108" s="101" t="s">
        <v>724</v>
      </c>
      <c r="B108" s="176">
        <f>ROUND(CB30ASCL2!B170-CB30ASCL2!B158-CB30ASCL2!B161-CB30ASCL2!B164-CB30ASCL2!B167,5)</f>
        <v>0</v>
      </c>
    </row>
    <row r="109" spans="1:2" ht="27" customHeight="1">
      <c r="A109" s="101" t="s">
        <v>725</v>
      </c>
      <c r="B109" s="176">
        <f>ROUND(CB30ASCL2!C170-CB30ASCL2!C158-CB30ASCL2!C161-CB30ASCL2!C164-CB30ASCL2!C167,5)</f>
        <v>0</v>
      </c>
    </row>
    <row r="110" spans="1:2" ht="27" customHeight="1">
      <c r="A110" s="142" t="s">
        <v>726</v>
      </c>
      <c r="B110" s="176">
        <f>ROUND(CB30ASCL2!B171-CB30ASCL2!B159-CB30ASCL2!B162-CB30ASCL2!B165-CB30ASCL2!B168,5)</f>
        <v>0</v>
      </c>
    </row>
    <row r="111" spans="1:2" ht="27" customHeight="1">
      <c r="A111" s="101" t="s">
        <v>727</v>
      </c>
      <c r="B111" s="176">
        <f>ROUND(CB30ASCL2!C171-CB30ASCL2!C159-CB30ASCL2!C162-CB30ASCL2!C165-CB30ASCL2!C168,5)</f>
        <v>0</v>
      </c>
    </row>
    <row r="112" spans="1:2" ht="38.25">
      <c r="A112" s="101" t="s">
        <v>728</v>
      </c>
      <c r="B112" s="176">
        <f>ROUND(CB30ASCL2!B172-CB30ASCL2!B160-CB30ASCL2!B163-CB30ASCL2!B166-CB30ASCL2!B169,5)</f>
        <v>0</v>
      </c>
    </row>
    <row r="113" spans="1:2" ht="38.25">
      <c r="A113" s="142" t="s">
        <v>729</v>
      </c>
      <c r="B113" s="176">
        <f>ROUND(CB30ASCL2!C172-CB30ASCL2!C160-CB30ASCL2!C163-CB30ASCL2!C166-CB30ASCL2!C169,5)</f>
        <v>0</v>
      </c>
    </row>
    <row r="114" spans="1:2" ht="12.75" customHeight="1">
      <c r="A114" s="142"/>
      <c r="B114" s="176"/>
    </row>
    <row r="115" spans="1:2" ht="27" customHeight="1">
      <c r="A115" s="101" t="s">
        <v>688</v>
      </c>
      <c r="B115" s="176">
        <f>ROUND(CB30ASCL2!B185-CB30ASCL2!B173-CB30ASCL2!B176-CB30ASCL2!B179-CB30ASCL2!B182,5)</f>
        <v>0</v>
      </c>
    </row>
    <row r="116" spans="1:2" ht="27" customHeight="1">
      <c r="A116" s="101" t="s">
        <v>689</v>
      </c>
      <c r="B116" s="176">
        <f>ROUND(CB30ASCL2!C185-CB30ASCL2!C173-CB30ASCL2!C176-CB30ASCL2!C179-CB30ASCL2!C182,5)</f>
        <v>0</v>
      </c>
    </row>
    <row r="117" spans="1:2" ht="27" customHeight="1">
      <c r="A117" s="142" t="s">
        <v>690</v>
      </c>
      <c r="B117" s="176">
        <f>ROUND(CB30ASCL2!B186-CB30ASCL2!B174-CB30ASCL2!B177-CB30ASCL2!B180-CB30ASCL2!B183,5)</f>
        <v>0</v>
      </c>
    </row>
    <row r="118" spans="1:2" ht="27" customHeight="1">
      <c r="A118" s="101" t="s">
        <v>691</v>
      </c>
      <c r="B118" s="176">
        <f>ROUND(CB30ASCL2!C186-CB30ASCL2!C174-CB30ASCL2!C177-CB30ASCL2!C180-CB30ASCL2!C183,5)</f>
        <v>0</v>
      </c>
    </row>
    <row r="119" spans="1:2" ht="27" customHeight="1">
      <c r="A119" s="101" t="s">
        <v>692</v>
      </c>
      <c r="B119" s="176">
        <f>ROUND(CB30ASCL2!B187-CB30ASCL2!B175-CB30ASCL2!B178-CB30ASCL2!B181-CB30ASCL2!B184,5)</f>
        <v>0</v>
      </c>
    </row>
    <row r="120" spans="1:2" ht="27" customHeight="1">
      <c r="A120" s="142" t="s">
        <v>693</v>
      </c>
      <c r="B120" s="176">
        <f>ROUND(CB30ASCL2!C187-CB30ASCL2!C175-CB30ASCL2!C178-CB30ASCL2!C181-CB30ASCL2!C184,5)</f>
        <v>0</v>
      </c>
    </row>
    <row r="121" spans="1:2" ht="12.75" customHeight="1">
      <c r="A121" s="142"/>
      <c r="B121" s="176"/>
    </row>
    <row r="122" spans="1:2" ht="38.25">
      <c r="A122" s="142" t="s">
        <v>742</v>
      </c>
      <c r="B122" s="176">
        <f>ROUND(CB30ASCL2!B188-CB30ASCL2!B125-CB30ASCL2!B140-CB30ASCL2!B155-CB30ASCL2!B170-CB30ASCL2!B185,5)</f>
        <v>0</v>
      </c>
    </row>
    <row r="123" spans="1:2" ht="38.25">
      <c r="A123" s="142" t="s">
        <v>743</v>
      </c>
      <c r="B123" s="176">
        <f>ROUND(CB30ASCL2!C188-CB30ASCL2!C125-CB30ASCL2!C140-CB30ASCL2!C155-CB30ASCL2!C170-CB30ASCL2!C185,5)</f>
        <v>0</v>
      </c>
    </row>
    <row r="124" spans="1:2" ht="38.25">
      <c r="A124" s="142" t="s">
        <v>744</v>
      </c>
      <c r="B124" s="176">
        <f>ROUND(CB30ASCL2!B189-CB30ASCL2!B126-CB30ASCL2!B141-CB30ASCL2!B156-CB30ASCL2!B171-CB30ASCL2!B186,5)</f>
        <v>0</v>
      </c>
    </row>
    <row r="125" spans="1:2" ht="38.25">
      <c r="A125" s="142" t="s">
        <v>745</v>
      </c>
      <c r="B125" s="176">
        <f>ROUND(CB30ASCL2!C189-CB30ASCL2!C126-CB30ASCL2!C141-CB30ASCL2!C156-CB30ASCL2!C171-CB30ASCL2!C186,5)</f>
        <v>0</v>
      </c>
    </row>
    <row r="126" spans="1:2" ht="38.25">
      <c r="A126" s="142" t="s">
        <v>746</v>
      </c>
      <c r="B126" s="176">
        <f>ROUND(CB30ASCL2!B190-CB30ASCL2!B127-CB30ASCL2!B142-CB30ASCL2!B157-CB30ASCL2!B172-CB30ASCL2!B187,5)</f>
        <v>0</v>
      </c>
    </row>
    <row r="127" spans="1:2" ht="38.25">
      <c r="A127" s="142" t="s">
        <v>747</v>
      </c>
      <c r="B127" s="176">
        <f>ROUND(CB30ASCL2!C190-CB30ASCL2!C127-CB30ASCL2!C142-CB30ASCL2!C157-CB30ASCL2!C172-CB30ASCL2!C187,5)</f>
        <v>0</v>
      </c>
    </row>
    <row r="128" spans="1:2" ht="12.75" customHeight="1">
      <c r="A128" s="142"/>
      <c r="B128" s="176"/>
    </row>
    <row r="129" spans="1:2" ht="25.5" customHeight="1">
      <c r="A129" s="100" t="s">
        <v>624</v>
      </c>
      <c r="B129" s="176">
        <f>ROUND(CB30ASCL2!B206-CB30ASCL2!B191-CB30ASCL2!B194-CB30ASCL2!B197-CB30ASCL2!B200-CB30ASCL2!B203,5)</f>
        <v>0</v>
      </c>
    </row>
    <row r="130" spans="1:2" ht="27" customHeight="1">
      <c r="A130" s="100" t="s">
        <v>625</v>
      </c>
      <c r="B130" s="176">
        <f>ROUND(CB30ASCL2!C206-CB30ASCL2!C191-CB30ASCL2!C194-CB30ASCL2!C197-CB30ASCL2!C200-CB30ASCL2!C203,5)</f>
        <v>0</v>
      </c>
    </row>
    <row r="131" spans="1:2" ht="38.25">
      <c r="A131" s="100" t="s">
        <v>626</v>
      </c>
      <c r="B131" s="176">
        <f>ROUND(CB30ASCL2!B207-CB30ASCL2!B192-CB30ASCL2!B195-CB30ASCL2!B198-CB30ASCL2!B201-CB30ASCL2!B204,5)</f>
        <v>0</v>
      </c>
    </row>
    <row r="132" spans="1:2" ht="38.25">
      <c r="A132" s="100" t="s">
        <v>627</v>
      </c>
      <c r="B132" s="176">
        <f>ROUND(CB30ASCL2!C207-CB30ASCL2!C192-CB30ASCL2!C195-CB30ASCL2!C198-CB30ASCL2!C201-CB30ASCL2!C204,5)</f>
        <v>0</v>
      </c>
    </row>
    <row r="133" spans="1:2" ht="38.25">
      <c r="A133" s="100" t="s">
        <v>628</v>
      </c>
      <c r="B133" s="176">
        <f>ROUND(CB30ASCL2!B208-CB30ASCL2!B193-CB30ASCL2!B196-CB30ASCL2!B199-CB30ASCL2!B202-CB30ASCL2!B205,5)</f>
        <v>0</v>
      </c>
    </row>
    <row r="134" spans="1:2" ht="38.25">
      <c r="A134" s="100" t="s">
        <v>629</v>
      </c>
      <c r="B134" s="176">
        <f>ROUND(CB30ASCL2!C208-CB30ASCL2!C193-CB30ASCL2!C196-CB30ASCL2!C199-CB30ASCL2!C202-CB30ASCL2!C205,5)</f>
        <v>0</v>
      </c>
    </row>
    <row r="135" spans="1:2" ht="12.75" customHeight="1">
      <c r="A135" s="103"/>
      <c r="B135" s="177"/>
    </row>
    <row r="136" spans="1:2" ht="12.75" customHeight="1">
      <c r="A136" s="100"/>
      <c r="B136" s="176"/>
    </row>
    <row r="137" spans="1:2" ht="21.75" customHeight="1">
      <c r="A137" s="104" t="s">
        <v>630</v>
      </c>
      <c r="B137" s="176"/>
    </row>
    <row r="138" spans="1:2" ht="12.75" customHeight="1">
      <c r="A138" s="100"/>
      <c r="B138" s="176"/>
    </row>
    <row r="139" spans="1:2" ht="25.5">
      <c r="A139" s="101" t="s">
        <v>631</v>
      </c>
      <c r="B139" s="176">
        <f>ROUND(CB30ASCL2!B219-CB30ASCL2!B213-CB30ASCL2!B216,5)</f>
        <v>0</v>
      </c>
    </row>
    <row r="140" spans="1:2" ht="25.5">
      <c r="A140" s="101" t="s">
        <v>632</v>
      </c>
      <c r="B140" s="176">
        <f>ROUND(CB30ASCL2!C219-CB30ASCL2!C213-CB30ASCL2!C216,5)</f>
        <v>0</v>
      </c>
    </row>
    <row r="141" spans="1:2" ht="25.5">
      <c r="A141" s="142" t="s">
        <v>633</v>
      </c>
      <c r="B141" s="176">
        <f>ROUND(CB30ASCL2!B220-CB30ASCL2!B214-CB30ASCL2!B217,5)</f>
        <v>0</v>
      </c>
    </row>
    <row r="142" spans="1:2" ht="25.5">
      <c r="A142" s="101" t="s">
        <v>634</v>
      </c>
      <c r="B142" s="176">
        <f>ROUND(CB30ASCL2!C220-CB30ASCL2!C214-CB30ASCL2!C217,5)</f>
        <v>0</v>
      </c>
    </row>
    <row r="143" spans="1:2" ht="25.5">
      <c r="A143" s="101" t="s">
        <v>635</v>
      </c>
      <c r="B143" s="176">
        <f>ROUND(CB30ASCL2!B221-CB30ASCL2!B215-CB30ASCL2!B218,5)</f>
        <v>0</v>
      </c>
    </row>
    <row r="144" spans="1:2" ht="25.5">
      <c r="A144" s="142" t="s">
        <v>636</v>
      </c>
      <c r="B144" s="176">
        <f>ROUND(CB30ASCL2!C221-CB30ASCL2!C215-CB30ASCL2!C218,5)</f>
        <v>0</v>
      </c>
    </row>
    <row r="145" spans="1:2">
      <c r="A145" s="101"/>
      <c r="B145" s="176"/>
    </row>
    <row r="146" spans="1:2" ht="25.5">
      <c r="A146" s="101" t="s">
        <v>676</v>
      </c>
      <c r="B146" s="176">
        <f>ROUND(CB30ASCL2!B228-CB30ASCL2!B222-CB30ASCL2!B225,5)</f>
        <v>0</v>
      </c>
    </row>
    <row r="147" spans="1:2" ht="25.5">
      <c r="A147" s="101" t="s">
        <v>677</v>
      </c>
      <c r="B147" s="176">
        <f>ROUND(CB30ASCL2!C228-CB30ASCL2!C222-CB30ASCL2!C225,5)</f>
        <v>0</v>
      </c>
    </row>
    <row r="148" spans="1:2" ht="25.5">
      <c r="A148" s="142" t="s">
        <v>678</v>
      </c>
      <c r="B148" s="176">
        <f>ROUND(CB30ASCL2!B229-CB30ASCL2!B223-CB30ASCL2!B226,5)</f>
        <v>0</v>
      </c>
    </row>
    <row r="149" spans="1:2" ht="25.5">
      <c r="A149" s="101" t="s">
        <v>679</v>
      </c>
      <c r="B149" s="176">
        <f>ROUND(CB30ASCL2!C229-CB30ASCL2!C223-CB30ASCL2!C226,5)</f>
        <v>0</v>
      </c>
    </row>
    <row r="150" spans="1:2" ht="25.5">
      <c r="A150" s="101" t="s">
        <v>680</v>
      </c>
      <c r="B150" s="176">
        <f>ROUND(CB30ASCL2!B230-CB30ASCL2!B224-CB30ASCL2!B227,5)</f>
        <v>0</v>
      </c>
    </row>
    <row r="151" spans="1:2" ht="25.5">
      <c r="A151" s="142" t="s">
        <v>681</v>
      </c>
      <c r="B151" s="176">
        <f>ROUND(CB30ASCL2!C230-CB30ASCL2!C224-CB30ASCL2!C227,5)</f>
        <v>0</v>
      </c>
    </row>
    <row r="152" spans="1:2">
      <c r="A152" s="101"/>
      <c r="B152" s="176"/>
    </row>
    <row r="153" spans="1:2" ht="25.5">
      <c r="A153" s="101" t="s">
        <v>712</v>
      </c>
      <c r="B153" s="176">
        <f>ROUND(CB30ASCL2!B237-CB30ASCL2!B231-CB30ASCL2!B234,5)</f>
        <v>0</v>
      </c>
    </row>
    <row r="154" spans="1:2" ht="25.5">
      <c r="A154" s="101" t="s">
        <v>713</v>
      </c>
      <c r="B154" s="176">
        <f>ROUND(CB30ASCL2!C237-CB30ASCL2!C231-CB30ASCL2!C234,5)</f>
        <v>0</v>
      </c>
    </row>
    <row r="155" spans="1:2" ht="25.5">
      <c r="A155" s="142" t="s">
        <v>714</v>
      </c>
      <c r="B155" s="176">
        <f>ROUND(CB30ASCL2!B238-CB30ASCL2!B232-CB30ASCL2!B235,5)</f>
        <v>0</v>
      </c>
    </row>
    <row r="156" spans="1:2" ht="25.5">
      <c r="A156" s="101" t="s">
        <v>715</v>
      </c>
      <c r="B156" s="176">
        <f>ROUND(CB30ASCL2!C238-CB30ASCL2!C232-CB30ASCL2!C235,5)</f>
        <v>0</v>
      </c>
    </row>
    <row r="157" spans="1:2" ht="25.5">
      <c r="A157" s="101" t="s">
        <v>716</v>
      </c>
      <c r="B157" s="176">
        <f>ROUND(CB30ASCL2!B239-CB30ASCL2!B233-CB30ASCL2!B236,5)</f>
        <v>0</v>
      </c>
    </row>
    <row r="158" spans="1:2" ht="25.5">
      <c r="A158" s="142" t="s">
        <v>717</v>
      </c>
      <c r="B158" s="176">
        <f>ROUND(CB30ASCL2!C239-CB30ASCL2!C233-CB30ASCL2!C236,5)</f>
        <v>0</v>
      </c>
    </row>
    <row r="159" spans="1:2">
      <c r="A159" s="101"/>
      <c r="B159" s="176"/>
    </row>
    <row r="160" spans="1:2" ht="25.5">
      <c r="A160" s="101" t="s">
        <v>730</v>
      </c>
      <c r="B160" s="176">
        <f>ROUND(CB30ASCL2!B246-CB30ASCL2!B240-CB30ASCL2!B243,5)</f>
        <v>0</v>
      </c>
    </row>
    <row r="161" spans="1:2" ht="25.5">
      <c r="A161" s="101" t="s">
        <v>731</v>
      </c>
      <c r="B161" s="176">
        <f>ROUND(CB30ASCL2!C246-CB30ASCL2!C240-CB30ASCL2!C243,5)</f>
        <v>0</v>
      </c>
    </row>
    <row r="162" spans="1:2" ht="25.5">
      <c r="A162" s="142" t="s">
        <v>732</v>
      </c>
      <c r="B162" s="176">
        <f>ROUND(CB30ASCL2!B247-CB30ASCL2!B241-CB30ASCL2!B244,5)</f>
        <v>0</v>
      </c>
    </row>
    <row r="163" spans="1:2" ht="25.5">
      <c r="A163" s="101" t="s">
        <v>733</v>
      </c>
      <c r="B163" s="176">
        <f>ROUND(CB30ASCL2!C247-CB30ASCL2!C241-CB30ASCL2!C244,5)</f>
        <v>0</v>
      </c>
    </row>
    <row r="164" spans="1:2" ht="25.5">
      <c r="A164" s="101" t="s">
        <v>734</v>
      </c>
      <c r="B164" s="176">
        <f>ROUND(CB30ASCL2!B248-CB30ASCL2!B242-CB30ASCL2!B245,5)</f>
        <v>0</v>
      </c>
    </row>
    <row r="165" spans="1:2" ht="25.5">
      <c r="A165" s="142" t="s">
        <v>735</v>
      </c>
      <c r="B165" s="176">
        <f>ROUND(CB30ASCL2!C248-CB30ASCL2!C242-CB30ASCL2!C245,5)</f>
        <v>0</v>
      </c>
    </row>
    <row r="166" spans="1:2">
      <c r="A166" s="101"/>
      <c r="B166" s="176"/>
    </row>
    <row r="167" spans="1:2" ht="25.5">
      <c r="A167" s="101" t="s">
        <v>694</v>
      </c>
      <c r="B167" s="176">
        <f>ROUND(CB30ASCL2!B255-CB30ASCL2!B249-CB30ASCL2!B252,5)</f>
        <v>0</v>
      </c>
    </row>
    <row r="168" spans="1:2" ht="25.5">
      <c r="A168" s="101" t="s">
        <v>695</v>
      </c>
      <c r="B168" s="176">
        <f>ROUND(CB30ASCL2!C255-CB30ASCL2!C249-CB30ASCL2!C252,5)</f>
        <v>0</v>
      </c>
    </row>
    <row r="169" spans="1:2" ht="25.5">
      <c r="A169" s="142" t="s">
        <v>696</v>
      </c>
      <c r="B169" s="176">
        <f>ROUND(CB30ASCL2!B256-CB30ASCL2!B250-CB30ASCL2!B253,5)</f>
        <v>0</v>
      </c>
    </row>
    <row r="170" spans="1:2" ht="25.5">
      <c r="A170" s="101" t="s">
        <v>697</v>
      </c>
      <c r="B170" s="176">
        <f>ROUND(CB30ASCL2!C256-CB30ASCL2!C250-CB30ASCL2!C253,5)</f>
        <v>0</v>
      </c>
    </row>
    <row r="171" spans="1:2" ht="25.5">
      <c r="A171" s="101" t="s">
        <v>698</v>
      </c>
      <c r="B171" s="176">
        <f>ROUND(CB30ASCL2!B257-CB30ASCL2!B251-CB30ASCL2!B254,5)</f>
        <v>0</v>
      </c>
    </row>
    <row r="172" spans="1:2" ht="25.5">
      <c r="A172" s="142" t="s">
        <v>699</v>
      </c>
      <c r="B172" s="176">
        <f>ROUND(CB30ASCL2!C257-CB30ASCL2!C251-CB30ASCL2!C254,5)</f>
        <v>0</v>
      </c>
    </row>
    <row r="173" spans="1:2">
      <c r="A173" s="142"/>
      <c r="B173" s="176"/>
    </row>
    <row r="174" spans="1:2" ht="38.25">
      <c r="A174" s="142" t="s">
        <v>748</v>
      </c>
      <c r="B174" s="176">
        <f>ROUND(CB30ASCL2!B258-CB30ASCL2!B219-CB30ASCL2!B228-CB30ASCL2!B237-CB30ASCL2!B246-CB30ASCL2!B255,5)</f>
        <v>0</v>
      </c>
    </row>
    <row r="175" spans="1:2" ht="38.25">
      <c r="A175" s="142" t="s">
        <v>749</v>
      </c>
      <c r="B175" s="176">
        <f>ROUND(CB30ASCL2!C258-CB30ASCL2!C219-CB30ASCL2!C228-CB30ASCL2!C237-CB30ASCL2!C246-CB30ASCL2!C255,5)</f>
        <v>0</v>
      </c>
    </row>
    <row r="176" spans="1:2" ht="38.25">
      <c r="A176" s="142" t="s">
        <v>750</v>
      </c>
      <c r="B176" s="176">
        <f>ROUND(CB30ASCL2!B259-CB30ASCL2!B220-CB30ASCL2!B229-CB30ASCL2!B238-CB30ASCL2!B247-CB30ASCL2!B256,5)</f>
        <v>0</v>
      </c>
    </row>
    <row r="177" spans="1:2" ht="38.25">
      <c r="A177" s="142" t="s">
        <v>751</v>
      </c>
      <c r="B177" s="176">
        <f>ROUND(CB30ASCL2!C259-CB30ASCL2!C220-CB30ASCL2!C229-CB30ASCL2!C238-CB30ASCL2!C247-CB30ASCL2!C256,5)</f>
        <v>0</v>
      </c>
    </row>
    <row r="178" spans="1:2" ht="38.25">
      <c r="A178" s="142" t="s">
        <v>752</v>
      </c>
      <c r="B178" s="176">
        <f>ROUND(CB30ASCL2!B260-CB30ASCL2!B221-CB30ASCL2!B230-CB30ASCL2!B239-CB30ASCL2!B248-CB30ASCL2!B257,5)</f>
        <v>0</v>
      </c>
    </row>
    <row r="179" spans="1:2" ht="38.25">
      <c r="A179" s="142" t="s">
        <v>753</v>
      </c>
      <c r="B179" s="176">
        <f>ROUND(CB30ASCL2!C260-CB30ASCL2!C221-CB30ASCL2!C230-CB30ASCL2!C239-CB30ASCL2!C248-CB30ASCL2!C257,5)</f>
        <v>0</v>
      </c>
    </row>
    <row r="180" spans="1:2" ht="12.75" customHeight="1">
      <c r="A180" s="142"/>
      <c r="B180" s="176"/>
    </row>
    <row r="181" spans="1:2" ht="27" customHeight="1">
      <c r="A181" s="100" t="s">
        <v>637</v>
      </c>
      <c r="B181" s="176">
        <f>ROUND(CB30ASCL2!B273-CB30ASCL2!B261-CB30ASCL2!B264-CB30ASCL2!B267-CB30ASCL2!B270,5)</f>
        <v>0</v>
      </c>
    </row>
    <row r="182" spans="1:2" ht="27" customHeight="1">
      <c r="A182" s="100" t="s">
        <v>638</v>
      </c>
      <c r="B182" s="176">
        <f>ROUND(CB30ASCL2!C273-CB30ASCL2!C261-CB30ASCL2!C264-CB30ASCL2!C267-CB30ASCL2!C270,5)</f>
        <v>0</v>
      </c>
    </row>
    <row r="183" spans="1:2" ht="27" customHeight="1">
      <c r="A183" s="100" t="s">
        <v>639</v>
      </c>
      <c r="B183" s="176">
        <f>ROUND(CB30ASCL2!B274-CB30ASCL2!B262-CB30ASCL2!B265-CB30ASCL2!B268-CB30ASCL2!B271,5)</f>
        <v>0</v>
      </c>
    </row>
    <row r="184" spans="1:2" ht="27" customHeight="1">
      <c r="A184" s="100" t="s">
        <v>640</v>
      </c>
      <c r="B184" s="176">
        <f>ROUND(CB30ASCL2!C274-CB30ASCL2!C262-CB30ASCL2!C265-CB30ASCL2!C268-CB30ASCL2!C271,5)</f>
        <v>0</v>
      </c>
    </row>
    <row r="185" spans="1:2" ht="27" customHeight="1">
      <c r="A185" s="100" t="s">
        <v>641</v>
      </c>
      <c r="B185" s="176">
        <f>ROUND(CB30ASCL2!B275-CB30ASCL2!B263-CB30ASCL2!B266-CB30ASCL2!B269-CB30ASCL2!B272,5)</f>
        <v>0</v>
      </c>
    </row>
    <row r="186" spans="1:2" ht="27" customHeight="1">
      <c r="A186" s="100" t="s">
        <v>642</v>
      </c>
      <c r="B186" s="176">
        <f>ROUND(CB30ASCL2!C275-CB30ASCL2!C263-CB30ASCL2!C266-CB30ASCL2!C269-CB30ASCL2!C272,5)</f>
        <v>0</v>
      </c>
    </row>
    <row r="187" spans="1:2">
      <c r="A187" s="103"/>
      <c r="B187" s="177"/>
    </row>
    <row r="188" spans="1:2" ht="12.75" customHeight="1">
      <c r="A188" s="100"/>
      <c r="B188" s="176"/>
    </row>
    <row r="189" spans="1:2" ht="21.75" customHeight="1">
      <c r="A189" s="104" t="s">
        <v>643</v>
      </c>
      <c r="B189" s="176"/>
    </row>
    <row r="190" spans="1:2" ht="12.75" customHeight="1">
      <c r="A190" s="100"/>
      <c r="B190" s="176"/>
    </row>
    <row r="191" spans="1:2" ht="51">
      <c r="A191" s="100" t="s">
        <v>644</v>
      </c>
      <c r="B191" s="176">
        <f>ROUND(CB30ASCL2!B313-CB30ASCL2!B280-CB30ASCL2!B283-CB30ASCL2!B286-CB30ASCL2!B289-CB30ASCL2!B292-CB30ASCL2!B295-CB30ASCL2!B298-CB30ASCL2!B301-CB30ASCL2!B304-CB30ASCL2!B307-CB30ASCL2!B310,5)</f>
        <v>0</v>
      </c>
    </row>
    <row r="192" spans="1:2" ht="51">
      <c r="A192" s="100" t="s">
        <v>645</v>
      </c>
      <c r="B192" s="176">
        <f>ROUND(CB30ASCL2!C313-CB30ASCL2!C280-CB30ASCL2!C283-CB30ASCL2!C286-CB30ASCL2!C289-CB30ASCL2!C292-CB30ASCL2!C295-CB30ASCL2!C298-CB30ASCL2!C301-CB30ASCL2!C304-CB30ASCL2!C307-CB30ASCL2!C310,5)</f>
        <v>0</v>
      </c>
    </row>
    <row r="193" spans="1:2">
      <c r="A193" s="100"/>
      <c r="B193" s="176"/>
    </row>
    <row r="194" spans="1:2" ht="51">
      <c r="A194" s="100" t="s">
        <v>646</v>
      </c>
      <c r="B194" s="176">
        <f>ROUND(CB30ASCL2!B314-CB30ASCL2!B281-CB30ASCL2!B284-CB30ASCL2!B287-CB30ASCL2!B290-CB30ASCL2!B293-CB30ASCL2!B296-CB30ASCL2!B299-CB30ASCL2!B302-CB30ASCL2!B305-CB30ASCL2!B308-CB30ASCL2!B311,5)</f>
        <v>0</v>
      </c>
    </row>
    <row r="195" spans="1:2" ht="51">
      <c r="A195" s="100" t="s">
        <v>647</v>
      </c>
      <c r="B195" s="176">
        <f>ROUND(CB30ASCL2!C314-CB30ASCL2!C281-CB30ASCL2!C284-CB30ASCL2!C287-CB30ASCL2!C290-CB30ASCL2!C293-CB30ASCL2!C296-CB30ASCL2!C299-CB30ASCL2!C302-CB30ASCL2!C305-CB30ASCL2!C308-CB30ASCL2!C311,5)</f>
        <v>0</v>
      </c>
    </row>
    <row r="196" spans="1:2">
      <c r="A196" s="100"/>
      <c r="B196" s="176"/>
    </row>
    <row r="197" spans="1:2" ht="51">
      <c r="A197" s="100" t="s">
        <v>648</v>
      </c>
      <c r="B197" s="176">
        <f>ROUND(CB30ASCL2!B315-CB30ASCL2!B282-CB30ASCL2!B285-CB30ASCL2!B288-CB30ASCL2!B291-CB30ASCL2!B294-CB30ASCL2!B297-CB30ASCL2!B300-CB30ASCL2!B303-CB30ASCL2!B306-CB30ASCL2!B309-CB30ASCL2!B312,5)</f>
        <v>0</v>
      </c>
    </row>
    <row r="198" spans="1:2" ht="51">
      <c r="A198" s="100" t="s">
        <v>649</v>
      </c>
      <c r="B198" s="176">
        <f>ROUND(CB30ASCL2!C315-CB30ASCL2!C282-CB30ASCL2!C285-CB30ASCL2!C288-CB30ASCL2!C291-CB30ASCL2!C294-CB30ASCL2!C297-CB30ASCL2!C300-CB30ASCL2!C303-CB30ASCL2!C306-CB30ASCL2!C309-CB30ASCL2!C312,5)</f>
        <v>0</v>
      </c>
    </row>
    <row r="199" spans="1:2">
      <c r="A199" s="103"/>
      <c r="B199" s="177"/>
    </row>
    <row r="200" spans="1:2">
      <c r="A200" s="100"/>
      <c r="B200" s="176"/>
    </row>
    <row r="201" spans="1:2" ht="18.75">
      <c r="A201" s="104" t="s">
        <v>650</v>
      </c>
      <c r="B201" s="176"/>
    </row>
    <row r="202" spans="1:2">
      <c r="A202" s="100"/>
      <c r="B202" s="176"/>
    </row>
    <row r="203" spans="1:2">
      <c r="A203" s="100" t="s">
        <v>651</v>
      </c>
      <c r="B203" s="176">
        <f>ROUND(CB30ASCL2!B472-SUM(CB30ASCL2!B447:B471),5)</f>
        <v>0</v>
      </c>
    </row>
    <row r="204" spans="1:2">
      <c r="A204" s="100" t="s">
        <v>652</v>
      </c>
      <c r="B204" s="176">
        <f>ROUND(CB30ASCL2!C472-SUM(CB30ASCL2!C447:C471),5)</f>
        <v>0</v>
      </c>
    </row>
    <row r="205" spans="1:2">
      <c r="A205" s="103"/>
      <c r="B205" s="177"/>
    </row>
    <row r="206" spans="1:2">
      <c r="A206" s="100"/>
      <c r="B206" s="176"/>
    </row>
    <row r="207" spans="1:2" ht="18.75">
      <c r="A207" s="104" t="s">
        <v>653</v>
      </c>
      <c r="B207" s="176"/>
    </row>
    <row r="208" spans="1:2">
      <c r="A208" s="100"/>
      <c r="B208" s="176"/>
    </row>
    <row r="209" spans="1:2">
      <c r="A209" s="100" t="s">
        <v>654</v>
      </c>
      <c r="B209" s="176">
        <f>ROUND(CB30ASCL2!B498-SUM(CB30ASCL2!B473:B497),5)</f>
        <v>0</v>
      </c>
    </row>
    <row r="210" spans="1:2" ht="25.5">
      <c r="A210" s="100" t="s">
        <v>655</v>
      </c>
      <c r="B210" s="176">
        <f>ROUND(CB30ASCL2!C498-SUM(CB30ASCL2!C473:C497),5)</f>
        <v>0</v>
      </c>
    </row>
    <row r="211" spans="1:2">
      <c r="A211" s="103"/>
      <c r="B211" s="177"/>
    </row>
    <row r="212" spans="1:2">
      <c r="A212" s="100"/>
      <c r="B212" s="176"/>
    </row>
    <row r="213" spans="1:2" ht="18.75">
      <c r="A213" s="104" t="s">
        <v>656</v>
      </c>
      <c r="B213" s="176"/>
    </row>
    <row r="214" spans="1:2">
      <c r="A214" s="100"/>
      <c r="B214" s="176"/>
    </row>
    <row r="215" spans="1:2" ht="25.5">
      <c r="A215" s="100" t="s">
        <v>657</v>
      </c>
      <c r="B215" s="176">
        <f>ROUND(CB30ASCL2!B519-SUM(CB30ASCL2!B503:B518),5)</f>
        <v>0</v>
      </c>
    </row>
    <row r="216" spans="1:2" ht="25.5">
      <c r="A216" s="100" t="s">
        <v>658</v>
      </c>
      <c r="B216" s="176">
        <f>ROUND(CB30ASCL2!C519-SUM(CB30ASCL2!C503:C518),5)</f>
        <v>0</v>
      </c>
    </row>
    <row r="217" spans="1:2">
      <c r="A217" s="103"/>
      <c r="B217" s="177"/>
    </row>
    <row r="218" spans="1:2">
      <c r="A218" s="100"/>
      <c r="B218" s="176"/>
    </row>
    <row r="219" spans="1:2" ht="18.75">
      <c r="A219" s="104" t="s">
        <v>659</v>
      </c>
      <c r="B219" s="176"/>
    </row>
    <row r="220" spans="1:2">
      <c r="A220" s="100"/>
      <c r="B220" s="176"/>
    </row>
    <row r="221" spans="1:2">
      <c r="A221" s="100" t="s">
        <v>660</v>
      </c>
      <c r="B221" s="176">
        <f>ROUND(CB30ASCL2!B538-SUM(CB30ASCL2!B523:B537),5)</f>
        <v>0</v>
      </c>
    </row>
    <row r="222" spans="1:2" ht="25.5">
      <c r="A222" s="100" t="s">
        <v>661</v>
      </c>
      <c r="B222" s="176">
        <f>ROUND(CB30ASCL2!C538-SUM(CB30ASCL2!C523:C537),5)</f>
        <v>0</v>
      </c>
    </row>
    <row r="223" spans="1:2">
      <c r="A223" s="105"/>
      <c r="B223" s="177"/>
    </row>
    <row r="224" spans="1:2">
      <c r="A224" s="100"/>
      <c r="B224" s="176"/>
    </row>
    <row r="225" spans="1:2" ht="18.75">
      <c r="A225" s="104" t="s">
        <v>662</v>
      </c>
      <c r="B225" s="176"/>
    </row>
    <row r="226" spans="1:2">
      <c r="A226" s="100"/>
      <c r="B226" s="176"/>
    </row>
    <row r="227" spans="1:2" ht="25.5">
      <c r="A227" s="100" t="s">
        <v>663</v>
      </c>
      <c r="B227" s="176">
        <f>ROUND(CB30ASCL2!B554-SUM(CB30ASCL2!B539:B553),5)</f>
        <v>0</v>
      </c>
    </row>
    <row r="228" spans="1:2" ht="25.5">
      <c r="A228" s="100" t="s">
        <v>664</v>
      </c>
      <c r="B228" s="176">
        <f>ROUND(CB30ASCL2!C554-SUM(CB30ASCL2!C539:C553),5)</f>
        <v>0</v>
      </c>
    </row>
    <row r="229" spans="1:2">
      <c r="A229" s="105"/>
      <c r="B229" s="177"/>
    </row>
    <row r="230" spans="1:2">
      <c r="A230" s="100"/>
      <c r="B230" s="176"/>
    </row>
    <row r="231" spans="1:2" ht="18.75">
      <c r="A231" s="104" t="s">
        <v>665</v>
      </c>
      <c r="B231" s="176"/>
    </row>
    <row r="232" spans="1:2">
      <c r="A232" s="100"/>
      <c r="B232" s="176"/>
    </row>
    <row r="233" spans="1:2">
      <c r="A233" s="100" t="s">
        <v>666</v>
      </c>
      <c r="B233" s="176">
        <f>ROUND(CB30ASCL2!B581-SUM(CB30ASCL2!B559:B567)-SUM(CB30ASCL2!B570:B573),5)</f>
        <v>0</v>
      </c>
    </row>
    <row r="234" spans="1:2" ht="13.5" thickBot="1">
      <c r="A234" s="144"/>
      <c r="B234" s="178"/>
    </row>
    <row r="244" ht="49.5" customHeight="1"/>
    <row r="247" ht="53.1" customHeight="1"/>
  </sheetData>
  <sheetProtection algorithmName="SHA-512" hashValue="9euS7zEt/0P2Uxg8Pwrh7Gd1La9yd8gVPOMWlvA58o+XWFBSBAHkBrAf2QFoY9SpsQcY45nGSYVHse5X1JS9Jg==" saltValue="sWsGlxGO93KBpMTOnkD2lQ==" spinCount="100000" sheet="1" selectLockedCells="1" selectUnlockedCells="1"/>
  <mergeCells count="1">
    <mergeCell ref="B2:B3"/>
  </mergeCells>
  <conditionalFormatting sqref="B4:B234">
    <cfRule type="cellIs" dxfId="7" priority="7" operator="greaterThan">
      <formula>0.00001</formula>
    </cfRule>
    <cfRule type="cellIs" dxfId="6" priority="8" operator="lessThan">
      <formula>-0.00001</formula>
    </cfRule>
  </conditionalFormatting>
  <conditionalFormatting sqref="C3">
    <cfRule type="cellIs" dxfId="5" priority="4" operator="greaterThan">
      <formula>0</formula>
    </cfRule>
    <cfRule type="expression" dxfId="4" priority="5">
      <formula>"Error"</formula>
    </cfRule>
    <cfRule type="cellIs" dxfId="3" priority="6" operator="notEqual">
      <formula>0</formula>
    </cfRule>
  </conditionalFormatting>
  <conditionalFormatting sqref="C1">
    <cfRule type="cellIs" dxfId="2" priority="1" operator="greaterThan">
      <formula>0</formula>
    </cfRule>
    <cfRule type="expression" dxfId="1" priority="2">
      <formula>"Error"</formula>
    </cfRule>
    <cfRule type="cellIs" dxfId="0" priority="3" operator="notEqual">
      <formula>0</formula>
    </cfRule>
  </conditionalFormatting>
  <pageMargins left="0.7" right="0.7" top="0.75" bottom="0.75" header="0.3" footer="0.3"/>
  <pageSetup scale="58" orientation="portrait" r:id="rId1"/>
  <rowBreaks count="4" manualBreakCount="4">
    <brk id="40" max="16383" man="1"/>
    <brk id="93" max="2" man="1"/>
    <brk id="134" max="2" man="1"/>
    <brk id="183" max="2" man="1"/>
  </rowBreaks>
  <drawing r:id="rId2"/>
  <legacyDrawing r:id="rId3"/>
  <controls>
    <mc:AlternateContent xmlns:mc="http://schemas.openxmlformats.org/markup-compatibility/2006">
      <mc:Choice Requires="x14">
        <control shapeId="2049" r:id="rId4" name="CommandButton1">
          <controlPr defaultSize="0" autoLine="0" r:id="rId5">
            <anchor moveWithCells="1">
              <from>
                <xdr:col>2</xdr:col>
                <xdr:colOff>352425</xdr:colOff>
                <xdr:row>3</xdr:row>
                <xdr:rowOff>114300</xdr:rowOff>
              </from>
              <to>
                <xdr:col>2</xdr:col>
                <xdr:colOff>2143125</xdr:colOff>
                <xdr:row>6</xdr:row>
                <xdr:rowOff>209550</xdr:rowOff>
              </to>
            </anchor>
          </controlPr>
        </control>
      </mc:Choice>
      <mc:Fallback>
        <control shapeId="2049" r:id="rId4" name="CommandButton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X56"/>
  <sheetViews>
    <sheetView showGridLines="0" zoomScaleNormal="100" workbookViewId="0">
      <selection activeCell="C51" sqref="C51"/>
    </sheetView>
  </sheetViews>
  <sheetFormatPr defaultColWidth="8.5703125" defaultRowHeight="11.25"/>
  <cols>
    <col min="1" max="1" width="2.5703125" style="11" customWidth="1"/>
    <col min="2" max="2" width="19.42578125" style="11" customWidth="1"/>
    <col min="3" max="3" width="5.5703125" style="11" customWidth="1"/>
    <col min="4" max="4" width="1.5703125" style="11" customWidth="1"/>
    <col min="5" max="5" width="11.42578125" style="11" customWidth="1"/>
    <col min="6" max="6" width="1.5703125" style="11" customWidth="1"/>
    <col min="7" max="7" width="5.5703125" style="11" customWidth="1"/>
    <col min="8" max="8" width="1.5703125" style="11" customWidth="1"/>
    <col min="9" max="9" width="11.42578125" style="11" customWidth="1"/>
    <col min="10" max="10" width="1.5703125" style="11" customWidth="1"/>
    <col min="11" max="11" width="5.5703125" style="11" customWidth="1"/>
    <col min="12" max="12" width="1.5703125" style="11" customWidth="1"/>
    <col min="13" max="13" width="11.42578125" style="11" customWidth="1"/>
    <col min="14" max="14" width="1.5703125" style="11" customWidth="1"/>
    <col min="15" max="15" width="5.5703125" style="11" customWidth="1"/>
    <col min="16" max="16" width="1.5703125" style="11" customWidth="1"/>
    <col min="17" max="17" width="11.42578125" style="11" customWidth="1"/>
    <col min="18" max="16384" width="8.5703125" style="11"/>
  </cols>
  <sheetData>
    <row r="2" spans="1:17" ht="12.75">
      <c r="A2" s="10"/>
      <c r="B2" s="15"/>
      <c r="C2" s="15"/>
      <c r="D2" s="15"/>
      <c r="E2" s="15"/>
      <c r="F2" s="15"/>
      <c r="G2" s="15"/>
      <c r="H2" s="15"/>
      <c r="I2" s="110"/>
      <c r="J2" s="16"/>
      <c r="K2" s="15"/>
      <c r="L2" s="15"/>
      <c r="M2" s="15"/>
      <c r="N2" s="15"/>
      <c r="O2" s="15"/>
      <c r="P2" s="15"/>
      <c r="Q2" s="43" t="s">
        <v>525</v>
      </c>
    </row>
    <row r="3" spans="1:17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15">
      <c r="A4" s="27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ht="15">
      <c r="A5" s="29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ht="15">
      <c r="A6" s="27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ht="15">
      <c r="A7" s="29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15">
      <c r="A8" s="27" t="s">
        <v>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ht="1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ht="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15">
      <c r="A11" s="31" t="s">
        <v>25</v>
      </c>
      <c r="B11" s="30"/>
      <c r="C11" s="32" t="str">
        <f>'COVER PAGE'!C7</f>
        <v>SELECT INSTITUTION</v>
      </c>
      <c r="D11" s="30"/>
      <c r="E11" s="30"/>
      <c r="F11" s="30"/>
      <c r="G11" s="30"/>
      <c r="H11" s="30"/>
      <c r="I11" s="33" t="s">
        <v>3</v>
      </c>
      <c r="J11" s="34" t="s">
        <v>35</v>
      </c>
      <c r="K11" s="35"/>
      <c r="L11" s="30"/>
      <c r="M11" s="32"/>
      <c r="N11" s="30"/>
      <c r="O11" s="30"/>
      <c r="P11" s="30"/>
      <c r="Q11" s="30"/>
    </row>
    <row r="12" spans="1:17" ht="12.75">
      <c r="A12" s="8"/>
      <c r="B12" s="19"/>
      <c r="C12" s="8"/>
      <c r="E12" s="17"/>
      <c r="F12" s="9"/>
      <c r="K12" s="18"/>
      <c r="L12" s="8"/>
      <c r="M12" s="9"/>
    </row>
    <row r="13" spans="1:17" ht="12.75">
      <c r="A13" s="8"/>
      <c r="B13" s="20"/>
      <c r="C13" s="8"/>
      <c r="E13" s="17"/>
      <c r="F13" s="9"/>
      <c r="K13" s="18"/>
      <c r="L13" s="8"/>
      <c r="M13" s="9"/>
    </row>
    <row r="14" spans="1:17" ht="6" customHeight="1">
      <c r="A14" s="8"/>
      <c r="B14" s="20"/>
      <c r="C14" s="8"/>
      <c r="E14" s="17"/>
      <c r="F14" s="9"/>
      <c r="K14" s="18"/>
      <c r="L14" s="8"/>
      <c r="M14" s="9"/>
    </row>
    <row r="15" spans="1:17" ht="12.75">
      <c r="B15" s="20"/>
      <c r="C15" s="8"/>
    </row>
    <row r="16" spans="1:17" ht="5.25" customHeight="1">
      <c r="B16" s="20"/>
      <c r="C16" s="8"/>
    </row>
    <row r="17" spans="1:24" ht="12.75">
      <c r="B17" s="19"/>
      <c r="C17" s="8"/>
    </row>
    <row r="18" spans="1:24">
      <c r="B18" s="19"/>
      <c r="C18" s="21"/>
    </row>
    <row r="19" spans="1:24" ht="12.75">
      <c r="A19" s="8"/>
      <c r="B19" s="8"/>
      <c r="C19" s="36" t="s">
        <v>4</v>
      </c>
      <c r="D19" s="36"/>
      <c r="E19" s="24"/>
      <c r="F19" s="24"/>
      <c r="G19" s="36" t="s">
        <v>5</v>
      </c>
      <c r="H19" s="36"/>
      <c r="I19" s="24"/>
      <c r="J19" s="24"/>
      <c r="K19" s="36" t="s">
        <v>6</v>
      </c>
      <c r="L19" s="36"/>
      <c r="M19" s="24"/>
      <c r="N19" s="24"/>
      <c r="O19" s="36" t="s">
        <v>7</v>
      </c>
      <c r="P19" s="36"/>
      <c r="Q19" s="24"/>
    </row>
    <row r="20" spans="1:24" ht="12.75">
      <c r="A20" s="25" t="s">
        <v>8</v>
      </c>
      <c r="B20" s="25" t="s">
        <v>9</v>
      </c>
      <c r="C20" s="36" t="s">
        <v>10</v>
      </c>
      <c r="D20" s="36"/>
      <c r="E20" s="24"/>
      <c r="F20" s="24"/>
      <c r="G20" s="36" t="s">
        <v>11</v>
      </c>
      <c r="H20" s="36"/>
      <c r="I20" s="24"/>
      <c r="J20" s="24"/>
      <c r="K20" s="36" t="s">
        <v>11</v>
      </c>
      <c r="L20" s="36"/>
      <c r="M20" s="24"/>
      <c r="N20" s="24"/>
      <c r="O20" s="36" t="s">
        <v>12</v>
      </c>
      <c r="P20" s="36"/>
      <c r="Q20" s="24"/>
    </row>
    <row r="21" spans="1:24" ht="12.75">
      <c r="A21" s="8"/>
      <c r="B21" s="8"/>
      <c r="C21" s="36" t="s">
        <v>13</v>
      </c>
      <c r="D21" s="36"/>
      <c r="E21" s="24"/>
      <c r="F21" s="24"/>
      <c r="G21" s="36" t="s">
        <v>14</v>
      </c>
      <c r="H21" s="36"/>
      <c r="I21" s="24"/>
      <c r="J21" s="24"/>
      <c r="K21" s="36" t="s">
        <v>14</v>
      </c>
      <c r="L21" s="36"/>
      <c r="M21" s="24"/>
      <c r="N21" s="24"/>
      <c r="O21" s="36" t="s">
        <v>15</v>
      </c>
      <c r="P21" s="36"/>
      <c r="Q21" s="24"/>
    </row>
    <row r="23" spans="1:24" ht="12.75">
      <c r="B23" s="8"/>
      <c r="C23" s="37" t="s">
        <v>16</v>
      </c>
      <c r="D23" s="37"/>
      <c r="E23" s="38" t="s">
        <v>17</v>
      </c>
      <c r="F23" s="37"/>
      <c r="G23" s="37" t="s">
        <v>16</v>
      </c>
      <c r="H23" s="37"/>
      <c r="I23" s="38" t="s">
        <v>17</v>
      </c>
      <c r="J23" s="37"/>
      <c r="K23" s="37" t="s">
        <v>16</v>
      </c>
      <c r="L23" s="37"/>
      <c r="M23" s="38" t="s">
        <v>17</v>
      </c>
      <c r="N23" s="37"/>
      <c r="O23" s="37" t="s">
        <v>16</v>
      </c>
      <c r="P23" s="37"/>
      <c r="Q23" s="38" t="s">
        <v>17</v>
      </c>
    </row>
    <row r="24" spans="1:24" ht="12.75">
      <c r="B24" s="8"/>
      <c r="C24" s="37"/>
      <c r="D24" s="37"/>
      <c r="E24" s="81" t="s">
        <v>38</v>
      </c>
      <c r="F24" s="82"/>
      <c r="G24" s="83"/>
      <c r="H24" s="83"/>
      <c r="I24" s="81" t="s">
        <v>38</v>
      </c>
      <c r="J24" s="82"/>
      <c r="K24" s="83"/>
      <c r="L24" s="83"/>
      <c r="M24" s="81" t="s">
        <v>38</v>
      </c>
      <c r="N24" s="82"/>
      <c r="O24" s="83"/>
      <c r="P24" s="83"/>
      <c r="Q24" s="81" t="s">
        <v>38</v>
      </c>
      <c r="S24"/>
      <c r="T24"/>
      <c r="U24"/>
      <c r="V24"/>
      <c r="W24"/>
      <c r="X24"/>
    </row>
    <row r="25" spans="1:24" ht="12.75">
      <c r="B25" s="8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S25"/>
      <c r="T25"/>
      <c r="U25"/>
      <c r="V25"/>
      <c r="W25"/>
      <c r="X25"/>
    </row>
    <row r="26" spans="1:24" ht="12.75">
      <c r="A26" s="11" t="s">
        <v>18</v>
      </c>
      <c r="B26" s="39" t="s">
        <v>19</v>
      </c>
      <c r="C26" s="53">
        <f>SUM(C27:C29)</f>
        <v>0</v>
      </c>
      <c r="D26" s="54"/>
      <c r="E26" s="53">
        <f t="shared" ref="E26:Q26" si="0">SUM(E27:E29)</f>
        <v>0</v>
      </c>
      <c r="F26" s="54"/>
      <c r="G26" s="53">
        <f t="shared" si="0"/>
        <v>0</v>
      </c>
      <c r="H26" s="54"/>
      <c r="I26" s="53">
        <f t="shared" si="0"/>
        <v>0</v>
      </c>
      <c r="J26" s="54"/>
      <c r="K26" s="53">
        <f t="shared" si="0"/>
        <v>0</v>
      </c>
      <c r="L26" s="54"/>
      <c r="M26" s="53">
        <f t="shared" si="0"/>
        <v>0</v>
      </c>
      <c r="N26" s="54"/>
      <c r="O26" s="53">
        <f t="shared" si="0"/>
        <v>0</v>
      </c>
      <c r="P26" s="54"/>
      <c r="Q26" s="53">
        <f t="shared" si="0"/>
        <v>0</v>
      </c>
    </row>
    <row r="27" spans="1:24" ht="12.75">
      <c r="B27" s="8" t="s">
        <v>20</v>
      </c>
      <c r="C27" s="112" t="s">
        <v>33</v>
      </c>
      <c r="D27" s="54"/>
      <c r="E27" s="112"/>
      <c r="F27" s="54"/>
      <c r="G27" s="112"/>
      <c r="H27" s="54"/>
      <c r="I27" s="112"/>
      <c r="J27" s="54"/>
      <c r="K27" s="112"/>
      <c r="L27" s="43"/>
      <c r="M27" s="112"/>
      <c r="N27" s="54"/>
      <c r="O27" s="112"/>
      <c r="P27" s="43"/>
      <c r="Q27" s="112"/>
    </row>
    <row r="28" spans="1:24" ht="12.75">
      <c r="B28" s="8" t="s">
        <v>21</v>
      </c>
      <c r="C28" s="112" t="s">
        <v>33</v>
      </c>
      <c r="D28" s="54"/>
      <c r="E28" s="112"/>
      <c r="F28" s="54"/>
      <c r="G28" s="112"/>
      <c r="H28" s="43"/>
      <c r="I28" s="112"/>
      <c r="J28" s="54"/>
      <c r="K28" s="112"/>
      <c r="L28" s="43"/>
      <c r="M28" s="112"/>
      <c r="N28" s="43"/>
      <c r="O28" s="112"/>
      <c r="P28" s="43"/>
      <c r="Q28" s="112"/>
    </row>
    <row r="29" spans="1:24" ht="12.75">
      <c r="B29" s="8" t="s">
        <v>22</v>
      </c>
      <c r="C29" s="112" t="s">
        <v>33</v>
      </c>
      <c r="D29" s="54"/>
      <c r="E29" s="112"/>
      <c r="F29" s="54"/>
      <c r="G29" s="112"/>
      <c r="H29" s="43"/>
      <c r="I29" s="112"/>
      <c r="J29" s="54"/>
      <c r="K29" s="112"/>
      <c r="L29" s="43"/>
      <c r="M29" s="112"/>
      <c r="N29" s="43"/>
      <c r="O29" s="112"/>
      <c r="P29" s="43"/>
      <c r="Q29" s="112"/>
    </row>
    <row r="30" spans="1:24" ht="12.75">
      <c r="B30" s="8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</row>
    <row r="31" spans="1:24" ht="12.75">
      <c r="A31" s="11" t="s">
        <v>23</v>
      </c>
      <c r="B31" s="39" t="s">
        <v>24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</row>
    <row r="32" spans="1:24" ht="12.75">
      <c r="B32" s="39" t="s">
        <v>25</v>
      </c>
      <c r="C32" s="53">
        <f>SUM(C33:C35)</f>
        <v>0</v>
      </c>
      <c r="D32" s="54"/>
      <c r="E32" s="53">
        <f t="shared" ref="E32:Q32" si="1">SUM(E33:E35)</f>
        <v>0</v>
      </c>
      <c r="F32" s="54"/>
      <c r="G32" s="53">
        <f t="shared" si="1"/>
        <v>0</v>
      </c>
      <c r="H32" s="54"/>
      <c r="I32" s="53">
        <f t="shared" si="1"/>
        <v>0</v>
      </c>
      <c r="J32" s="54"/>
      <c r="K32" s="53">
        <f t="shared" si="1"/>
        <v>0</v>
      </c>
      <c r="L32" s="54"/>
      <c r="M32" s="53">
        <f t="shared" si="1"/>
        <v>0</v>
      </c>
      <c r="N32" s="54"/>
      <c r="O32" s="53">
        <f t="shared" si="1"/>
        <v>0</v>
      </c>
      <c r="P32" s="54"/>
      <c r="Q32" s="53">
        <f t="shared" si="1"/>
        <v>0</v>
      </c>
    </row>
    <row r="33" spans="1:17" ht="12.75">
      <c r="B33" s="8" t="s">
        <v>20</v>
      </c>
      <c r="C33" s="112"/>
      <c r="D33" s="54"/>
      <c r="E33" s="112"/>
      <c r="F33" s="54"/>
      <c r="G33" s="112"/>
      <c r="H33" s="54"/>
      <c r="I33" s="112"/>
      <c r="J33" s="54"/>
      <c r="K33" s="112"/>
      <c r="L33" s="43"/>
      <c r="M33" s="112"/>
      <c r="N33" s="54"/>
      <c r="O33" s="112"/>
      <c r="P33" s="43"/>
      <c r="Q33" s="112"/>
    </row>
    <row r="34" spans="1:17" ht="12.75">
      <c r="B34" s="8" t="s">
        <v>21</v>
      </c>
      <c r="C34" s="112"/>
      <c r="D34" s="54"/>
      <c r="E34" s="112"/>
      <c r="F34" s="54"/>
      <c r="G34" s="112"/>
      <c r="H34" s="43"/>
      <c r="I34" s="112"/>
      <c r="J34" s="54"/>
      <c r="K34" s="112"/>
      <c r="L34" s="43"/>
      <c r="M34" s="112"/>
      <c r="N34" s="43"/>
      <c r="O34" s="112"/>
      <c r="P34" s="43"/>
      <c r="Q34" s="112"/>
    </row>
    <row r="35" spans="1:17" ht="12.75">
      <c r="B35" s="8" t="s">
        <v>22</v>
      </c>
      <c r="C35" s="112"/>
      <c r="D35" s="54"/>
      <c r="E35" s="112"/>
      <c r="F35" s="54"/>
      <c r="G35" s="112"/>
      <c r="H35" s="43"/>
      <c r="I35" s="112"/>
      <c r="J35" s="54"/>
      <c r="K35" s="112"/>
      <c r="L35" s="43"/>
      <c r="M35" s="112"/>
      <c r="N35" s="43"/>
      <c r="O35" s="112"/>
      <c r="P35" s="43"/>
      <c r="Q35" s="112"/>
    </row>
    <row r="36" spans="1:17" ht="12.75">
      <c r="B36" s="8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</row>
    <row r="37" spans="1:17" ht="12.75">
      <c r="A37" s="11" t="s">
        <v>26</v>
      </c>
      <c r="B37" s="39" t="s">
        <v>27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7" ht="12.75">
      <c r="B38" s="39" t="s">
        <v>28</v>
      </c>
      <c r="C38" s="53">
        <f>SUM(C39:C41)</f>
        <v>0</v>
      </c>
      <c r="D38" s="54"/>
      <c r="E38" s="53">
        <f t="shared" ref="E38:Q38" si="2">SUM(E39:E41)</f>
        <v>0</v>
      </c>
      <c r="F38" s="54"/>
      <c r="G38" s="53">
        <f t="shared" si="2"/>
        <v>0</v>
      </c>
      <c r="H38" s="54"/>
      <c r="I38" s="53">
        <f t="shared" si="2"/>
        <v>0</v>
      </c>
      <c r="J38" s="54"/>
      <c r="K38" s="53">
        <f t="shared" si="2"/>
        <v>0</v>
      </c>
      <c r="L38" s="54"/>
      <c r="M38" s="53">
        <f t="shared" si="2"/>
        <v>0</v>
      </c>
      <c r="N38" s="54"/>
      <c r="O38" s="53">
        <f t="shared" si="2"/>
        <v>0</v>
      </c>
      <c r="P38" s="54"/>
      <c r="Q38" s="53">
        <f t="shared" si="2"/>
        <v>0</v>
      </c>
    </row>
    <row r="39" spans="1:17" ht="12.75">
      <c r="B39" s="8" t="s">
        <v>20</v>
      </c>
      <c r="C39" s="112"/>
      <c r="D39" s="54"/>
      <c r="E39" s="112"/>
      <c r="F39" s="54"/>
      <c r="G39" s="112"/>
      <c r="H39" s="54"/>
      <c r="I39" s="112"/>
      <c r="J39" s="54"/>
      <c r="K39" s="112"/>
      <c r="L39" s="43"/>
      <c r="M39" s="112"/>
      <c r="N39" s="54"/>
      <c r="O39" s="112"/>
      <c r="P39" s="43"/>
      <c r="Q39" s="112"/>
    </row>
    <row r="40" spans="1:17" ht="12.75">
      <c r="B40" s="8" t="s">
        <v>21</v>
      </c>
      <c r="C40" s="112"/>
      <c r="D40" s="54"/>
      <c r="E40" s="112"/>
      <c r="F40" s="54"/>
      <c r="G40" s="112"/>
      <c r="H40" s="43"/>
      <c r="I40" s="112"/>
      <c r="J40" s="54"/>
      <c r="K40" s="112"/>
      <c r="L40" s="43"/>
      <c r="M40" s="112"/>
      <c r="N40" s="43"/>
      <c r="O40" s="112"/>
      <c r="P40" s="43"/>
      <c r="Q40" s="112"/>
    </row>
    <row r="41" spans="1:17" ht="12.75">
      <c r="B41" s="8" t="s">
        <v>22</v>
      </c>
      <c r="C41" s="112"/>
      <c r="D41" s="54"/>
      <c r="E41" s="112"/>
      <c r="F41" s="54"/>
      <c r="G41" s="112"/>
      <c r="H41" s="43"/>
      <c r="I41" s="112"/>
      <c r="J41" s="54"/>
      <c r="K41" s="112"/>
      <c r="L41" s="43"/>
      <c r="M41" s="112"/>
      <c r="N41" s="43"/>
      <c r="O41" s="112"/>
      <c r="P41" s="43"/>
      <c r="Q41" s="112"/>
    </row>
    <row r="42" spans="1:17" ht="12.75">
      <c r="B42" s="8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</row>
    <row r="43" spans="1:17" ht="12.75">
      <c r="A43" s="11" t="s">
        <v>29</v>
      </c>
      <c r="B43" s="39" t="s">
        <v>30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</row>
    <row r="44" spans="1:17" ht="12.75">
      <c r="B44" s="39" t="s">
        <v>28</v>
      </c>
      <c r="C44" s="53">
        <f>SUM(C45:C47)</f>
        <v>0</v>
      </c>
      <c r="D44" s="54"/>
      <c r="E44" s="53">
        <f t="shared" ref="E44:Q44" si="3">SUM(E45:E47)</f>
        <v>0</v>
      </c>
      <c r="F44" s="54"/>
      <c r="G44" s="53">
        <f t="shared" si="3"/>
        <v>0</v>
      </c>
      <c r="H44" s="54"/>
      <c r="I44" s="53">
        <f t="shared" si="3"/>
        <v>0</v>
      </c>
      <c r="J44" s="54"/>
      <c r="K44" s="53">
        <f t="shared" si="3"/>
        <v>0</v>
      </c>
      <c r="L44" s="54"/>
      <c r="M44" s="53">
        <f t="shared" si="3"/>
        <v>0</v>
      </c>
      <c r="N44" s="54"/>
      <c r="O44" s="53">
        <f t="shared" si="3"/>
        <v>0</v>
      </c>
      <c r="P44" s="54"/>
      <c r="Q44" s="53">
        <f t="shared" si="3"/>
        <v>0</v>
      </c>
    </row>
    <row r="45" spans="1:17" ht="12.75">
      <c r="B45" s="8" t="s">
        <v>20</v>
      </c>
      <c r="C45" s="112"/>
      <c r="D45" s="54"/>
      <c r="E45" s="112"/>
      <c r="F45" s="54"/>
      <c r="G45" s="112"/>
      <c r="H45" s="54"/>
      <c r="I45" s="112"/>
      <c r="J45" s="54"/>
      <c r="K45" s="112"/>
      <c r="L45" s="43"/>
      <c r="M45" s="112"/>
      <c r="N45" s="54"/>
      <c r="O45" s="112"/>
      <c r="P45" s="43"/>
      <c r="Q45" s="112"/>
    </row>
    <row r="46" spans="1:17" ht="12.75">
      <c r="B46" s="8" t="s">
        <v>21</v>
      </c>
      <c r="C46" s="112"/>
      <c r="D46" s="54"/>
      <c r="E46" s="112"/>
      <c r="F46" s="54"/>
      <c r="G46" s="112"/>
      <c r="H46" s="43"/>
      <c r="I46" s="112"/>
      <c r="J46" s="54"/>
      <c r="K46" s="112"/>
      <c r="L46" s="43"/>
      <c r="M46" s="112"/>
      <c r="N46" s="43"/>
      <c r="O46" s="112"/>
      <c r="P46" s="43"/>
      <c r="Q46" s="112"/>
    </row>
    <row r="47" spans="1:17" ht="12.75">
      <c r="B47" s="8" t="s">
        <v>22</v>
      </c>
      <c r="C47" s="112"/>
      <c r="D47" s="54"/>
      <c r="E47" s="112"/>
      <c r="F47" s="54"/>
      <c r="G47" s="112"/>
      <c r="H47" s="43"/>
      <c r="I47" s="112"/>
      <c r="J47" s="54"/>
      <c r="K47" s="112"/>
      <c r="L47" s="43"/>
      <c r="M47" s="112"/>
      <c r="N47" s="43"/>
      <c r="O47" s="112"/>
      <c r="P47" s="43"/>
      <c r="Q47" s="112"/>
    </row>
    <row r="48" spans="1:17" ht="12.75">
      <c r="B48" s="8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</row>
    <row r="49" spans="1:24" ht="12.75">
      <c r="A49" s="11" t="s">
        <v>31</v>
      </c>
      <c r="B49" s="39" t="s">
        <v>32</v>
      </c>
      <c r="C49" s="53">
        <f>SUM(C50:C52)</f>
        <v>0</v>
      </c>
      <c r="D49" s="54"/>
      <c r="E49" s="53">
        <f t="shared" ref="E49:Q49" si="4">SUM(E50:E52)</f>
        <v>0</v>
      </c>
      <c r="F49" s="54"/>
      <c r="G49" s="53">
        <f t="shared" si="4"/>
        <v>0</v>
      </c>
      <c r="H49" s="54"/>
      <c r="I49" s="53">
        <f t="shared" si="4"/>
        <v>0</v>
      </c>
      <c r="J49" s="54"/>
      <c r="K49" s="53">
        <f t="shared" si="4"/>
        <v>0</v>
      </c>
      <c r="L49" s="54"/>
      <c r="M49" s="53">
        <f t="shared" si="4"/>
        <v>0</v>
      </c>
      <c r="N49" s="54"/>
      <c r="O49" s="53">
        <f t="shared" si="4"/>
        <v>0</v>
      </c>
      <c r="P49" s="54"/>
      <c r="Q49" s="53">
        <f t="shared" si="4"/>
        <v>0</v>
      </c>
    </row>
    <row r="50" spans="1:24" ht="12.75">
      <c r="B50" s="8" t="s">
        <v>20</v>
      </c>
      <c r="C50" s="112"/>
      <c r="D50" s="54"/>
      <c r="E50" s="112"/>
      <c r="F50" s="54"/>
      <c r="G50" s="112"/>
      <c r="H50" s="54"/>
      <c r="I50" s="112"/>
      <c r="J50" s="54"/>
      <c r="K50" s="112"/>
      <c r="L50" s="43"/>
      <c r="M50" s="112"/>
      <c r="N50" s="54"/>
      <c r="O50" s="112"/>
      <c r="P50" s="43"/>
      <c r="Q50" s="112"/>
    </row>
    <row r="51" spans="1:24" ht="12.75">
      <c r="B51" s="8" t="s">
        <v>21</v>
      </c>
      <c r="C51" s="112"/>
      <c r="D51" s="54"/>
      <c r="E51" s="112"/>
      <c r="F51" s="54"/>
      <c r="G51" s="112"/>
      <c r="H51" s="43"/>
      <c r="I51" s="112"/>
      <c r="J51" s="54"/>
      <c r="K51" s="112"/>
      <c r="L51" s="43"/>
      <c r="M51" s="112"/>
      <c r="N51" s="43"/>
      <c r="O51" s="112"/>
      <c r="P51" s="43"/>
      <c r="Q51" s="112"/>
    </row>
    <row r="52" spans="1:24" ht="12.75">
      <c r="B52" s="8" t="s">
        <v>22</v>
      </c>
      <c r="C52" s="112"/>
      <c r="D52" s="54"/>
      <c r="E52" s="112"/>
      <c r="F52" s="54"/>
      <c r="G52" s="112"/>
      <c r="H52" s="43"/>
      <c r="I52" s="112"/>
      <c r="J52" s="54"/>
      <c r="K52" s="112"/>
      <c r="L52" s="43"/>
      <c r="M52" s="112"/>
      <c r="N52" s="43"/>
      <c r="O52" s="112"/>
      <c r="P52" s="43"/>
      <c r="Q52" s="112"/>
    </row>
    <row r="53" spans="1:24" ht="12.75">
      <c r="B53" s="8"/>
      <c r="C53" s="43" t="s">
        <v>33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55"/>
    </row>
    <row r="54" spans="1:24" ht="12.75">
      <c r="B54" s="25" t="s">
        <v>34</v>
      </c>
      <c r="C54" s="53">
        <f>C49+C44+C32+C38+C26</f>
        <v>0</v>
      </c>
      <c r="D54" s="54"/>
      <c r="E54" s="53">
        <f>E49+E44+E32+E38+E26</f>
        <v>0</v>
      </c>
      <c r="F54" s="43"/>
      <c r="G54" s="53">
        <f t="shared" ref="G54:M54" si="5">G49+G44+G32+G38+G26</f>
        <v>0</v>
      </c>
      <c r="H54" s="43"/>
      <c r="I54" s="53">
        <f t="shared" si="5"/>
        <v>0</v>
      </c>
      <c r="J54" s="43"/>
      <c r="K54" s="53">
        <f t="shared" si="5"/>
        <v>0</v>
      </c>
      <c r="L54" s="43"/>
      <c r="M54" s="53">
        <f t="shared" si="5"/>
        <v>0</v>
      </c>
      <c r="N54" s="54"/>
      <c r="O54" s="53">
        <f>O49+O44+O38+O32+O26</f>
        <v>0</v>
      </c>
      <c r="P54" s="54"/>
      <c r="Q54" s="53">
        <f>Q49+Q44+Q32+Q38+Q26</f>
        <v>0</v>
      </c>
    </row>
    <row r="55" spans="1:24">
      <c r="N55" s="9"/>
      <c r="U55" s="11" t="s">
        <v>33</v>
      </c>
      <c r="V55" s="11" t="s">
        <v>33</v>
      </c>
      <c r="W55" s="11" t="s">
        <v>33</v>
      </c>
      <c r="X55" s="11" t="s">
        <v>33</v>
      </c>
    </row>
    <row r="56" spans="1:24">
      <c r="U56" s="11" t="s">
        <v>33</v>
      </c>
      <c r="V56" s="11" t="s">
        <v>33</v>
      </c>
      <c r="W56" s="11" t="s">
        <v>33</v>
      </c>
      <c r="X56" s="11" t="s">
        <v>33</v>
      </c>
    </row>
  </sheetData>
  <sheetProtection algorithmName="SHA-512" hashValue="O208aWvOhnlGCWL0fn7QHqUskWqUI+qFSKqOj+Th+ivENsdi+aOXjDzle+Ob/6fa5kpbjJTWptaBIx3EswRVGw==" saltValue="98xr7BSaliPxHyckjOaQeQ==" spinCount="100000" sheet="1" selectLockedCells="1"/>
  <phoneticPr fontId="4" type="noConversion"/>
  <printOptions horizontalCentered="1" gridLinesSet="0"/>
  <pageMargins left="0" right="0" top="1" bottom="1" header="0.5" footer="0.5"/>
  <pageSetup scale="92" orientation="portrait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2:Q49"/>
  <sheetViews>
    <sheetView showGridLines="0" zoomScaleNormal="100" workbookViewId="0">
      <selection activeCell="Q35" sqref="Q35"/>
    </sheetView>
  </sheetViews>
  <sheetFormatPr defaultColWidth="9.42578125" defaultRowHeight="12.75"/>
  <cols>
    <col min="1" max="1" width="2.5703125" style="8" customWidth="1"/>
    <col min="2" max="2" width="21.5703125" style="8" customWidth="1"/>
    <col min="3" max="3" width="5.5703125" style="8" customWidth="1"/>
    <col min="4" max="4" width="1.5703125" style="8" customWidth="1"/>
    <col min="5" max="5" width="10.5703125" style="8" customWidth="1"/>
    <col min="6" max="6" width="1.5703125" style="8" customWidth="1"/>
    <col min="7" max="7" width="9.42578125" style="8"/>
    <col min="8" max="8" width="1.5703125" style="8" customWidth="1"/>
    <col min="9" max="9" width="10.5703125" style="8" customWidth="1"/>
    <col min="10" max="10" width="1.5703125" style="8" customWidth="1"/>
    <col min="11" max="11" width="5.5703125" style="8" customWidth="1"/>
    <col min="12" max="12" width="1.5703125" style="8" customWidth="1"/>
    <col min="13" max="13" width="10.5703125" style="8" customWidth="1"/>
    <col min="14" max="14" width="1.5703125" style="8" customWidth="1"/>
    <col min="15" max="15" width="5.5703125" style="8" customWidth="1"/>
    <col min="16" max="16" width="3.42578125" style="8" customWidth="1"/>
    <col min="17" max="17" width="10.5703125" style="8" customWidth="1"/>
    <col min="18" max="16384" width="9.42578125" style="8"/>
  </cols>
  <sheetData>
    <row r="2" spans="1:17">
      <c r="A2" s="43"/>
      <c r="B2" s="24"/>
      <c r="C2" s="24"/>
      <c r="D2" s="24"/>
      <c r="E2" s="24"/>
      <c r="F2" s="24"/>
      <c r="G2" s="24"/>
      <c r="H2" s="24"/>
      <c r="I2" s="83"/>
      <c r="J2" s="37"/>
      <c r="K2" s="24"/>
      <c r="L2" s="24"/>
      <c r="M2" s="24"/>
      <c r="N2" s="24"/>
      <c r="O2" s="24"/>
      <c r="P2" s="24"/>
      <c r="Q2" s="43" t="s">
        <v>526</v>
      </c>
    </row>
    <row r="3" spans="1:17" ht="15">
      <c r="A3" s="4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15">
      <c r="A4" s="27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ht="15">
      <c r="A5" s="29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ht="15">
      <c r="A6" s="27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ht="15">
      <c r="A7" s="29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15">
      <c r="A8" s="27" t="s">
        <v>36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ht="1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ht="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15">
      <c r="A11" s="49" t="s">
        <v>503</v>
      </c>
      <c r="B11" s="48"/>
      <c r="C11" s="47" t="str">
        <f>'COVER PAGE'!C7</f>
        <v>SELECT INSTITUTION</v>
      </c>
      <c r="D11" s="30"/>
      <c r="E11" s="30"/>
      <c r="F11" s="30"/>
      <c r="G11" s="30"/>
      <c r="H11" s="30"/>
      <c r="I11" s="30"/>
      <c r="J11" s="30"/>
      <c r="K11" s="30"/>
      <c r="L11" s="30"/>
      <c r="M11" s="48" t="s">
        <v>509</v>
      </c>
      <c r="N11" s="30"/>
      <c r="O11" s="30"/>
      <c r="P11" s="50" t="str">
        <f>'COVER PAGE'!$F$9</f>
        <v>September</v>
      </c>
      <c r="Q11" s="51">
        <f>'COVER PAGE'!$F$10</f>
        <v>45292</v>
      </c>
    </row>
    <row r="14" spans="1:17">
      <c r="C14" s="36" t="s">
        <v>4</v>
      </c>
      <c r="D14" s="36"/>
      <c r="E14" s="24"/>
      <c r="F14" s="36" t="s">
        <v>5</v>
      </c>
      <c r="G14" s="36"/>
      <c r="H14" s="36"/>
      <c r="I14" s="24"/>
      <c r="J14" s="24"/>
      <c r="K14" s="36" t="s">
        <v>6</v>
      </c>
      <c r="L14" s="36"/>
      <c r="M14" s="24"/>
      <c r="N14" s="24"/>
      <c r="O14" s="36" t="s">
        <v>7</v>
      </c>
      <c r="P14" s="36"/>
      <c r="Q14" s="24"/>
    </row>
    <row r="15" spans="1:17">
      <c r="A15" s="25" t="s">
        <v>8</v>
      </c>
      <c r="B15" s="45" t="s">
        <v>37</v>
      </c>
      <c r="C15" s="36" t="s">
        <v>10</v>
      </c>
      <c r="D15" s="36"/>
      <c r="E15" s="24"/>
      <c r="F15" s="36" t="s">
        <v>11</v>
      </c>
      <c r="G15" s="36"/>
      <c r="H15" s="36"/>
      <c r="I15" s="24"/>
      <c r="J15" s="24"/>
      <c r="K15" s="36" t="s">
        <v>11</v>
      </c>
      <c r="L15" s="36"/>
      <c r="M15" s="24"/>
      <c r="N15" s="24"/>
      <c r="O15" s="36" t="s">
        <v>12</v>
      </c>
      <c r="P15" s="36"/>
      <c r="Q15" s="24"/>
    </row>
    <row r="16" spans="1:17">
      <c r="C16" s="36" t="s">
        <v>13</v>
      </c>
      <c r="D16" s="36"/>
      <c r="E16" s="24"/>
      <c r="F16" s="36" t="s">
        <v>14</v>
      </c>
      <c r="G16" s="36"/>
      <c r="H16" s="36"/>
      <c r="I16" s="24"/>
      <c r="J16" s="24"/>
      <c r="K16" s="36" t="s">
        <v>14</v>
      </c>
      <c r="L16" s="36"/>
      <c r="M16" s="24"/>
      <c r="N16" s="24"/>
      <c r="O16" s="36" t="s">
        <v>15</v>
      </c>
      <c r="P16" s="36"/>
      <c r="Q16" s="24"/>
    </row>
    <row r="18" spans="1:17">
      <c r="C18" s="24" t="s">
        <v>16</v>
      </c>
      <c r="D18" s="24"/>
      <c r="E18" s="24" t="s">
        <v>17</v>
      </c>
      <c r="F18" s="24" t="s">
        <v>16</v>
      </c>
      <c r="G18" s="24"/>
      <c r="H18" s="24"/>
      <c r="I18" s="24" t="s">
        <v>17</v>
      </c>
      <c r="J18" s="24"/>
      <c r="K18" s="24" t="s">
        <v>16</v>
      </c>
      <c r="L18" s="24"/>
      <c r="M18" s="24" t="s">
        <v>17</v>
      </c>
      <c r="N18" s="24"/>
      <c r="O18" s="37" t="s">
        <v>16</v>
      </c>
      <c r="P18" s="24"/>
      <c r="Q18" s="24" t="s">
        <v>17</v>
      </c>
    </row>
    <row r="19" spans="1:17">
      <c r="C19" s="24"/>
      <c r="D19" s="24"/>
      <c r="E19" s="46" t="s">
        <v>38</v>
      </c>
      <c r="I19" s="46" t="s">
        <v>38</v>
      </c>
      <c r="J19" s="46"/>
      <c r="M19" s="46" t="s">
        <v>38</v>
      </c>
      <c r="N19" s="46"/>
      <c r="Q19" s="46" t="s">
        <v>38</v>
      </c>
    </row>
    <row r="21" spans="1:17">
      <c r="A21" s="8" t="s">
        <v>18</v>
      </c>
      <c r="B21" s="39" t="s">
        <v>39</v>
      </c>
      <c r="C21" s="113"/>
      <c r="E21" s="113"/>
      <c r="G21" s="113"/>
      <c r="I21" s="113"/>
      <c r="J21" s="13"/>
      <c r="K21" s="113"/>
      <c r="M21" s="113"/>
      <c r="N21" s="13"/>
      <c r="O21" s="113"/>
      <c r="Q21" s="113"/>
    </row>
    <row r="23" spans="1:17">
      <c r="A23" s="8" t="s">
        <v>23</v>
      </c>
      <c r="B23" s="39" t="s">
        <v>40</v>
      </c>
    </row>
    <row r="24" spans="1:17">
      <c r="B24" s="39" t="s">
        <v>41</v>
      </c>
      <c r="C24" s="113"/>
      <c r="E24" s="113"/>
      <c r="G24" s="113"/>
      <c r="I24" s="113"/>
      <c r="J24" s="13"/>
      <c r="K24" s="113"/>
      <c r="M24" s="113"/>
      <c r="N24" s="13"/>
      <c r="O24" s="113"/>
      <c r="Q24" s="113"/>
    </row>
    <row r="26" spans="1:17">
      <c r="A26" s="8" t="s">
        <v>26</v>
      </c>
      <c r="B26" s="39" t="s">
        <v>42</v>
      </c>
    </row>
    <row r="27" spans="1:17">
      <c r="B27" s="39" t="s">
        <v>43</v>
      </c>
      <c r="C27" s="113"/>
      <c r="E27" s="113"/>
      <c r="G27" s="113"/>
      <c r="I27" s="113"/>
      <c r="J27" s="13"/>
      <c r="K27" s="113"/>
      <c r="M27" s="113"/>
      <c r="N27" s="13"/>
      <c r="O27" s="113"/>
      <c r="Q27" s="113"/>
    </row>
    <row r="29" spans="1:17">
      <c r="B29" s="8" t="s">
        <v>44</v>
      </c>
    </row>
    <row r="31" spans="1:17">
      <c r="B31" s="8" t="s">
        <v>45</v>
      </c>
    </row>
    <row r="32" spans="1:17">
      <c r="B32" s="39" t="s">
        <v>553</v>
      </c>
    </row>
    <row r="33" spans="1:17">
      <c r="B33" s="39" t="s">
        <v>554</v>
      </c>
      <c r="C33" s="113"/>
      <c r="E33" s="113"/>
      <c r="G33" s="113"/>
      <c r="I33" s="113"/>
      <c r="J33" s="13"/>
      <c r="K33" s="113"/>
      <c r="M33" s="113"/>
      <c r="N33" s="13"/>
      <c r="O33" s="113"/>
      <c r="Q33" s="113"/>
    </row>
    <row r="35" spans="1:17">
      <c r="A35" s="8" t="s">
        <v>29</v>
      </c>
      <c r="B35" s="8" t="s">
        <v>46</v>
      </c>
      <c r="C35" s="113"/>
      <c r="E35" s="113"/>
      <c r="G35" s="113"/>
      <c r="I35" s="113"/>
      <c r="J35" s="13"/>
      <c r="K35" s="113"/>
      <c r="M35" s="113"/>
      <c r="N35" s="13"/>
      <c r="O35" s="113"/>
      <c r="Q35" s="113"/>
    </row>
    <row r="37" spans="1:17">
      <c r="A37" s="8" t="s">
        <v>47</v>
      </c>
      <c r="B37" s="8" t="s">
        <v>48</v>
      </c>
      <c r="C37" s="113"/>
      <c r="E37" s="113"/>
      <c r="G37" s="113"/>
      <c r="I37" s="113"/>
      <c r="J37" s="13"/>
      <c r="K37" s="113"/>
      <c r="M37" s="113"/>
      <c r="N37" s="13"/>
      <c r="O37" s="113"/>
      <c r="Q37" s="113"/>
    </row>
    <row r="40" spans="1:17">
      <c r="B40" s="8" t="s">
        <v>34</v>
      </c>
      <c r="C40" s="22">
        <f>C21+C24+C27+C35+C37</f>
        <v>0</v>
      </c>
      <c r="E40" s="22">
        <f>E21+E24+E27+E35+E37</f>
        <v>0</v>
      </c>
      <c r="G40" s="22">
        <f>G21+G24+G27+G35+G37</f>
        <v>0</v>
      </c>
      <c r="I40" s="22">
        <f>I21+I24+I27+I35+I37</f>
        <v>0</v>
      </c>
      <c r="J40" s="13"/>
      <c r="K40" s="22">
        <f>K21+K24+K27+K35+K37</f>
        <v>0</v>
      </c>
      <c r="M40" s="22">
        <f>M21+M24+M27+M35+M37</f>
        <v>0</v>
      </c>
      <c r="N40" s="13"/>
      <c r="O40" s="22">
        <f>O21+O24+O27+O35+O37</f>
        <v>0</v>
      </c>
      <c r="Q40" s="22">
        <f>Q21+Q24+Q27+Q35+Q37</f>
        <v>0</v>
      </c>
    </row>
    <row r="42" spans="1:17"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</row>
    <row r="43" spans="1:17">
      <c r="A43" s="25" t="s">
        <v>49</v>
      </c>
      <c r="B43" s="43" t="s">
        <v>50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1"/>
      <c r="N43" s="41"/>
      <c r="O43" s="41"/>
      <c r="P43" s="41"/>
      <c r="Q43" s="41"/>
    </row>
    <row r="46" spans="1:17">
      <c r="A46" s="8" t="s">
        <v>18</v>
      </c>
      <c r="B46" s="8" t="s">
        <v>519</v>
      </c>
      <c r="C46" s="113">
        <v>0</v>
      </c>
    </row>
    <row r="48" spans="1:17" ht="13.35" customHeight="1">
      <c r="A48" s="8" t="s">
        <v>23</v>
      </c>
      <c r="B48" s="8" t="s">
        <v>520</v>
      </c>
      <c r="C48" s="113">
        <v>0</v>
      </c>
    </row>
    <row r="49" spans="3:3" ht="13.35" customHeight="1">
      <c r="C49" s="13"/>
    </row>
  </sheetData>
  <sheetProtection algorithmName="SHA-512" hashValue="0jMzIuwqhuSy9hZ2ZfmUL0bDSjhEJzBHVQXR2BP2W1ld+evEEUOPzoHkWn3lMxhcMbrhOAFPLxMWrIotvEh0gQ==" saltValue="TMEnqFmHoe+SyB7CCdsoew==" spinCount="100000" sheet="1" selectLockedCells="1"/>
  <pageMargins left="0.7" right="0.7" top="0.75" bottom="0.75" header="0.3" footer="0.3"/>
  <pageSetup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P55"/>
  <sheetViews>
    <sheetView showGridLines="0" zoomScaleNormal="100" workbookViewId="0">
      <selection activeCell="D35" sqref="D35"/>
    </sheetView>
  </sheetViews>
  <sheetFormatPr defaultColWidth="8.5703125" defaultRowHeight="12.75"/>
  <cols>
    <col min="1" max="1" width="19.42578125" style="8" customWidth="1"/>
    <col min="2" max="2" width="5.5703125" style="8" customWidth="1"/>
    <col min="3" max="3" width="1.5703125" style="8" customWidth="1"/>
    <col min="4" max="4" width="11.42578125" style="8" customWidth="1"/>
    <col min="5" max="5" width="1.5703125" style="8" customWidth="1"/>
    <col min="6" max="6" width="8.5703125" style="8" customWidth="1"/>
    <col min="7" max="7" width="1.5703125" style="8" customWidth="1"/>
    <col min="8" max="8" width="8.42578125" style="8" customWidth="1"/>
    <col min="9" max="9" width="1.5703125" style="8" customWidth="1"/>
    <col min="10" max="10" width="5.5703125" style="8" customWidth="1"/>
    <col min="11" max="11" width="1.5703125" style="8" customWidth="1"/>
    <col min="12" max="12" width="11.42578125" style="8" customWidth="1"/>
    <col min="13" max="13" width="4.5703125" style="8" customWidth="1"/>
    <col min="14" max="14" width="11" style="8" customWidth="1"/>
    <col min="15" max="15" width="5" style="8" bestFit="1" customWidth="1"/>
    <col min="16" max="16" width="11.42578125" style="8" customWidth="1"/>
    <col min="17" max="16384" width="8.5703125" style="8"/>
  </cols>
  <sheetData>
    <row r="1" spans="1:16">
      <c r="A1" s="24"/>
      <c r="B1" s="24"/>
      <c r="C1" s="24"/>
      <c r="D1" s="24"/>
      <c r="E1" s="24"/>
      <c r="F1" s="24"/>
      <c r="G1" s="24"/>
      <c r="H1" s="83"/>
      <c r="I1" s="37"/>
      <c r="J1" s="24"/>
      <c r="K1" s="24"/>
      <c r="L1" s="24"/>
      <c r="M1" s="24"/>
      <c r="N1" s="24"/>
      <c r="O1" s="24"/>
      <c r="P1" s="43" t="s">
        <v>527</v>
      </c>
    </row>
    <row r="2" spans="1:16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5">
      <c r="A3" s="27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15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ht="15">
      <c r="A5" s="27" t="s">
        <v>51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ht="15">
      <c r="A6" s="29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ht="15">
      <c r="A7" s="27" t="s">
        <v>52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ht="1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ht="15">
      <c r="A9" s="60" t="s">
        <v>503</v>
      </c>
      <c r="B9" s="48" t="str">
        <f>'COVER PAGE'!C7</f>
        <v>SELECT INSTITUTION</v>
      </c>
      <c r="C9" s="30"/>
      <c r="D9" s="30"/>
      <c r="E9" s="30"/>
      <c r="F9" s="30"/>
      <c r="G9" s="30"/>
      <c r="H9" s="30"/>
      <c r="I9" s="30"/>
      <c r="J9" s="30"/>
      <c r="K9" s="47" t="s">
        <v>510</v>
      </c>
      <c r="L9" s="30"/>
      <c r="M9" s="30"/>
      <c r="N9" s="50" t="str">
        <f>'COVER PAGE'!$F$9</f>
        <v>September</v>
      </c>
      <c r="O9" s="51">
        <f>'COVER PAGE'!$F$10</f>
        <v>45292</v>
      </c>
      <c r="P9" s="30"/>
    </row>
    <row r="11" spans="1:16">
      <c r="B11" s="36"/>
      <c r="C11" s="36"/>
      <c r="D11" s="24"/>
      <c r="E11" s="36" t="s">
        <v>53</v>
      </c>
      <c r="F11" s="36"/>
      <c r="G11" s="36"/>
      <c r="H11" s="24"/>
      <c r="I11" s="24"/>
      <c r="J11" s="57"/>
      <c r="K11" s="57"/>
      <c r="L11" s="43"/>
      <c r="M11" s="43"/>
      <c r="N11" s="36"/>
      <c r="O11" s="36"/>
      <c r="P11" s="24"/>
    </row>
    <row r="12" spans="1:16">
      <c r="A12" s="36" t="s">
        <v>54</v>
      </c>
      <c r="B12" s="36" t="s">
        <v>55</v>
      </c>
      <c r="C12" s="36"/>
      <c r="D12" s="24"/>
      <c r="E12" s="36" t="s">
        <v>56</v>
      </c>
      <c r="F12" s="36"/>
      <c r="G12" s="36"/>
      <c r="H12" s="24"/>
      <c r="I12" s="24"/>
      <c r="J12" s="36" t="s">
        <v>57</v>
      </c>
      <c r="K12" s="36"/>
      <c r="L12" s="24"/>
      <c r="M12" s="24"/>
      <c r="N12" s="36" t="s">
        <v>58</v>
      </c>
      <c r="O12" s="36"/>
      <c r="P12" s="24"/>
    </row>
    <row r="13" spans="1:16">
      <c r="B13" s="36" t="s">
        <v>59</v>
      </c>
      <c r="C13" s="36"/>
      <c r="D13" s="24"/>
      <c r="E13" s="36" t="s">
        <v>14</v>
      </c>
      <c r="F13" s="36"/>
      <c r="G13" s="36"/>
      <c r="H13" s="24"/>
      <c r="I13" s="24"/>
      <c r="J13" s="36" t="s">
        <v>60</v>
      </c>
      <c r="K13" s="36"/>
      <c r="L13" s="24"/>
      <c r="M13" s="24"/>
      <c r="N13" s="36" t="s">
        <v>59</v>
      </c>
      <c r="O13" s="36"/>
      <c r="P13" s="24"/>
    </row>
    <row r="15" spans="1:16">
      <c r="B15" s="24" t="s">
        <v>16</v>
      </c>
      <c r="C15" s="24"/>
      <c r="D15" s="24" t="s">
        <v>17</v>
      </c>
      <c r="E15" s="24" t="s">
        <v>16</v>
      </c>
      <c r="F15" s="24"/>
      <c r="G15" s="24"/>
      <c r="H15" s="24" t="s">
        <v>17</v>
      </c>
      <c r="I15" s="24"/>
      <c r="J15" s="24" t="s">
        <v>16</v>
      </c>
      <c r="K15" s="24"/>
      <c r="L15" s="24" t="s">
        <v>17</v>
      </c>
      <c r="M15" s="24"/>
      <c r="N15" s="24" t="s">
        <v>16</v>
      </c>
      <c r="O15" s="24"/>
      <c r="P15" s="24" t="s">
        <v>17</v>
      </c>
    </row>
    <row r="16" spans="1:16">
      <c r="B16" s="24"/>
      <c r="C16" s="24"/>
      <c r="D16" s="46" t="s">
        <v>38</v>
      </c>
      <c r="H16" s="46" t="s">
        <v>38</v>
      </c>
      <c r="I16" s="46"/>
      <c r="L16" s="46" t="s">
        <v>38</v>
      </c>
      <c r="M16" s="46"/>
      <c r="P16" s="46" t="s">
        <v>38</v>
      </c>
    </row>
    <row r="17" spans="1:16">
      <c r="B17" s="46" t="s">
        <v>61</v>
      </c>
      <c r="C17" s="46"/>
      <c r="D17" s="46" t="s">
        <v>62</v>
      </c>
      <c r="E17" s="46" t="s">
        <v>63</v>
      </c>
      <c r="F17" s="46"/>
      <c r="G17" s="46"/>
      <c r="H17" s="46" t="s">
        <v>64</v>
      </c>
      <c r="I17" s="46"/>
      <c r="J17" s="46" t="s">
        <v>65</v>
      </c>
      <c r="K17" s="46"/>
      <c r="L17" s="46" t="s">
        <v>66</v>
      </c>
      <c r="M17" s="46"/>
      <c r="N17" s="46" t="s">
        <v>67</v>
      </c>
      <c r="O17" s="46"/>
      <c r="P17" s="46" t="s">
        <v>68</v>
      </c>
    </row>
    <row r="19" spans="1:16" ht="11.85" customHeight="1">
      <c r="A19" s="8" t="s">
        <v>69</v>
      </c>
      <c r="B19" s="114"/>
      <c r="C19" s="42"/>
      <c r="D19" s="114"/>
      <c r="E19" s="42"/>
      <c r="F19" s="114"/>
      <c r="G19" s="42"/>
      <c r="H19" s="114"/>
      <c r="I19" s="42"/>
      <c r="J19" s="114"/>
      <c r="K19" s="42"/>
      <c r="L19" s="114"/>
      <c r="M19" s="42"/>
      <c r="N19" s="114"/>
      <c r="O19" s="42"/>
      <c r="P19" s="114"/>
    </row>
    <row r="20" spans="1:16" ht="19.350000000000001" customHeight="1">
      <c r="A20" s="8" t="s">
        <v>70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>
      <c r="A21" s="8" t="s">
        <v>71</v>
      </c>
      <c r="B21" s="114"/>
      <c r="C21" s="42"/>
      <c r="D21" s="114"/>
      <c r="E21" s="42"/>
      <c r="F21" s="114"/>
      <c r="G21" s="42"/>
      <c r="H21" s="114"/>
      <c r="I21" s="42"/>
      <c r="J21" s="114"/>
      <c r="K21" s="42"/>
      <c r="L21" s="114"/>
      <c r="M21" s="42"/>
      <c r="N21" s="114"/>
      <c r="O21" s="42"/>
      <c r="P21" s="114"/>
    </row>
    <row r="22" spans="1:16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</row>
    <row r="23" spans="1:16">
      <c r="A23" s="25" t="s">
        <v>34</v>
      </c>
      <c r="B23" s="40">
        <f>B19+B21</f>
        <v>0</v>
      </c>
      <c r="C23" s="42"/>
      <c r="D23" s="40">
        <f>D19+D21</f>
        <v>0</v>
      </c>
      <c r="E23" s="42"/>
      <c r="F23" s="40">
        <f>F19+F21</f>
        <v>0</v>
      </c>
      <c r="G23" s="42"/>
      <c r="H23" s="40">
        <f>H19+H21</f>
        <v>0</v>
      </c>
      <c r="I23" s="42"/>
      <c r="J23" s="40">
        <f>J19+J21</f>
        <v>0</v>
      </c>
      <c r="K23" s="42"/>
      <c r="L23" s="40">
        <f>L19+L21</f>
        <v>0</v>
      </c>
      <c r="M23" s="42"/>
      <c r="N23" s="40">
        <f>N19+N21</f>
        <v>0</v>
      </c>
      <c r="O23" s="42"/>
      <c r="P23" s="40">
        <f>P19+P21</f>
        <v>0</v>
      </c>
    </row>
    <row r="24" spans="1:16" ht="20.100000000000001" customHeight="1">
      <c r="A24" s="39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>
      <c r="A25" s="23" t="s">
        <v>72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>
      <c r="A26" s="58" t="s">
        <v>38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6" customHeight="1">
      <c r="A27" s="58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1.85" customHeight="1">
      <c r="B28" s="24"/>
      <c r="C28" s="36"/>
      <c r="D28" s="36" t="s">
        <v>73</v>
      </c>
      <c r="E28" s="36"/>
      <c r="G28" s="36"/>
      <c r="H28" s="36"/>
      <c r="I28" s="36"/>
      <c r="J28" s="24"/>
      <c r="K28" s="36"/>
      <c r="L28" s="45" t="s">
        <v>74</v>
      </c>
      <c r="M28" s="36"/>
      <c r="N28" s="36"/>
      <c r="O28" s="36"/>
      <c r="P28" s="36"/>
    </row>
    <row r="29" spans="1:16" ht="21" customHeight="1">
      <c r="A29" s="36" t="s">
        <v>54</v>
      </c>
      <c r="B29" s="36" t="s">
        <v>75</v>
      </c>
      <c r="C29" s="36"/>
      <c r="D29" s="45" t="s">
        <v>57</v>
      </c>
      <c r="E29" s="36"/>
      <c r="F29" s="36" t="s">
        <v>76</v>
      </c>
      <c r="G29" s="36"/>
      <c r="I29" s="36"/>
      <c r="J29" s="36" t="s">
        <v>16</v>
      </c>
      <c r="K29" s="36"/>
      <c r="L29" s="45" t="s">
        <v>57</v>
      </c>
      <c r="M29" s="36"/>
      <c r="N29" s="36" t="s">
        <v>76</v>
      </c>
      <c r="O29" s="36"/>
    </row>
    <row r="30" spans="1:16">
      <c r="B30" s="36" t="s">
        <v>77</v>
      </c>
      <c r="C30" s="36"/>
      <c r="D30" s="25"/>
      <c r="E30" s="25"/>
      <c r="F30" s="25"/>
      <c r="G30" s="25"/>
      <c r="H30" s="25"/>
      <c r="I30" s="25"/>
      <c r="J30" s="36" t="s">
        <v>77</v>
      </c>
      <c r="K30" s="36"/>
      <c r="L30" s="25"/>
      <c r="M30" s="25"/>
      <c r="N30" s="25"/>
      <c r="O30" s="25"/>
      <c r="P30" s="25"/>
    </row>
    <row r="32" spans="1:16">
      <c r="A32" s="8" t="s">
        <v>69</v>
      </c>
      <c r="B32" s="114"/>
      <c r="C32" s="42"/>
      <c r="D32" s="114"/>
      <c r="E32" s="42"/>
      <c r="F32" s="114"/>
      <c r="G32" s="42"/>
      <c r="H32" s="56"/>
      <c r="I32" s="42"/>
      <c r="J32" s="114"/>
      <c r="K32" s="42"/>
      <c r="L32" s="114"/>
      <c r="M32" s="42"/>
      <c r="N32" s="114"/>
      <c r="O32" s="41"/>
      <c r="P32" s="13"/>
    </row>
    <row r="33" spans="1:16">
      <c r="B33" s="42"/>
      <c r="C33" s="42"/>
      <c r="D33" s="42"/>
      <c r="E33" s="42"/>
      <c r="F33" s="42"/>
      <c r="G33" s="42"/>
      <c r="H33" s="56"/>
      <c r="I33" s="42"/>
      <c r="J33" s="42"/>
      <c r="K33" s="42"/>
      <c r="L33" s="42"/>
      <c r="M33" s="42"/>
      <c r="N33" s="42"/>
      <c r="P33" s="13"/>
    </row>
    <row r="34" spans="1:16">
      <c r="A34" s="8" t="s">
        <v>70</v>
      </c>
      <c r="B34" s="42"/>
      <c r="C34" s="42"/>
      <c r="D34" s="42"/>
      <c r="E34" s="42"/>
      <c r="F34" s="42"/>
      <c r="G34" s="42"/>
      <c r="H34" s="56"/>
      <c r="I34" s="42"/>
      <c r="J34" s="42"/>
      <c r="K34" s="42"/>
      <c r="L34" s="42"/>
      <c r="M34" s="42"/>
      <c r="N34" s="42"/>
      <c r="P34" s="13"/>
    </row>
    <row r="35" spans="1:16">
      <c r="A35" s="8" t="s">
        <v>71</v>
      </c>
      <c r="B35" s="114"/>
      <c r="C35" s="42"/>
      <c r="D35" s="114"/>
      <c r="E35" s="42"/>
      <c r="F35" s="114"/>
      <c r="G35" s="42"/>
      <c r="H35" s="56"/>
      <c r="I35" s="42"/>
      <c r="J35" s="114"/>
      <c r="K35" s="42"/>
      <c r="L35" s="114"/>
      <c r="M35" s="42"/>
      <c r="N35" s="114"/>
      <c r="O35" s="41"/>
      <c r="P35" s="13"/>
    </row>
    <row r="36" spans="1:16">
      <c r="B36" s="42"/>
      <c r="C36" s="42"/>
      <c r="D36" s="42"/>
      <c r="E36" s="42"/>
      <c r="F36" s="42"/>
      <c r="G36" s="42"/>
      <c r="H36" s="56"/>
      <c r="I36" s="42"/>
      <c r="J36" s="42"/>
      <c r="K36" s="42"/>
      <c r="L36" s="42"/>
      <c r="M36" s="42"/>
      <c r="N36" s="42"/>
      <c r="P36" s="13"/>
    </row>
    <row r="37" spans="1:16">
      <c r="A37" s="25" t="s">
        <v>34</v>
      </c>
      <c r="B37" s="40">
        <f>B32+B35</f>
        <v>0</v>
      </c>
      <c r="C37" s="42"/>
      <c r="D37" s="40">
        <f>D32+D35</f>
        <v>0</v>
      </c>
      <c r="E37" s="42"/>
      <c r="F37" s="40">
        <f>F32+F35</f>
        <v>0</v>
      </c>
      <c r="G37" s="42"/>
      <c r="H37" s="56"/>
      <c r="I37" s="42"/>
      <c r="J37" s="40">
        <f>J32+J35</f>
        <v>0</v>
      </c>
      <c r="K37" s="42"/>
      <c r="L37" s="40">
        <f>L32+L35</f>
        <v>0</v>
      </c>
      <c r="M37" s="42"/>
      <c r="N37" s="40">
        <f>N32+N35</f>
        <v>0</v>
      </c>
      <c r="O37" s="41"/>
      <c r="P37" s="13"/>
    </row>
    <row r="38" spans="1:16" ht="15.6" customHeight="1"/>
    <row r="39" spans="1:16">
      <c r="A39" s="24"/>
      <c r="B39" s="23" t="s">
        <v>78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1" spans="1:16">
      <c r="H41" s="36" t="s">
        <v>16</v>
      </c>
      <c r="I41" s="36"/>
      <c r="J41" s="36" t="s">
        <v>17</v>
      </c>
      <c r="K41" s="36"/>
      <c r="L41" s="36"/>
      <c r="M41" s="24"/>
      <c r="N41" s="24"/>
      <c r="O41" s="24"/>
    </row>
    <row r="42" spans="1:16">
      <c r="D42" s="36" t="s">
        <v>54</v>
      </c>
      <c r="H42" s="36" t="s">
        <v>77</v>
      </c>
      <c r="I42" s="36"/>
      <c r="J42" s="58" t="s">
        <v>38</v>
      </c>
      <c r="K42" s="58"/>
      <c r="L42" s="36"/>
      <c r="M42" s="24"/>
      <c r="N42" s="24"/>
      <c r="O42" s="24"/>
    </row>
    <row r="43" spans="1:16">
      <c r="H43" s="58" t="s">
        <v>61</v>
      </c>
      <c r="I43" s="58"/>
      <c r="J43" s="58" t="s">
        <v>62</v>
      </c>
      <c r="K43" s="58"/>
      <c r="L43" s="36"/>
      <c r="M43" s="24"/>
      <c r="N43" s="24"/>
      <c r="O43" s="24"/>
    </row>
    <row r="44" spans="1:16" ht="3.6" customHeight="1"/>
    <row r="45" spans="1:16">
      <c r="B45" s="38"/>
      <c r="C45" s="38"/>
      <c r="D45" s="38" t="s">
        <v>79</v>
      </c>
      <c r="E45" s="38"/>
      <c r="F45" s="38"/>
      <c r="G45" s="38"/>
      <c r="H45" s="22">
        <f>H47+H50</f>
        <v>0</v>
      </c>
      <c r="L45" s="22">
        <f>L47+L50</f>
        <v>0</v>
      </c>
      <c r="M45" s="41"/>
      <c r="N45" s="41"/>
      <c r="O45" s="41"/>
    </row>
    <row r="46" spans="1:16" ht="5.0999999999999996" customHeight="1"/>
    <row r="47" spans="1:16">
      <c r="B47" s="38"/>
      <c r="C47" s="38"/>
      <c r="D47" s="59" t="s">
        <v>80</v>
      </c>
      <c r="E47" s="38"/>
      <c r="F47" s="38"/>
      <c r="G47" s="38"/>
      <c r="H47" s="113"/>
      <c r="L47" s="113"/>
      <c r="M47" s="41"/>
      <c r="N47" s="41"/>
      <c r="O47" s="41"/>
    </row>
    <row r="48" spans="1:16" ht="4.3499999999999996" customHeight="1"/>
    <row r="49" spans="2:15">
      <c r="B49" s="38"/>
      <c r="C49" s="38"/>
      <c r="D49" s="59" t="s">
        <v>81</v>
      </c>
      <c r="E49" s="38"/>
      <c r="F49" s="38"/>
      <c r="G49" s="38"/>
    </row>
    <row r="50" spans="2:15">
      <c r="B50" s="38"/>
      <c r="C50" s="38"/>
      <c r="D50" s="38" t="s">
        <v>82</v>
      </c>
      <c r="E50" s="38"/>
      <c r="F50" s="38"/>
      <c r="G50" s="38"/>
      <c r="H50" s="113"/>
      <c r="L50" s="113"/>
      <c r="M50" s="41"/>
      <c r="N50" s="41"/>
      <c r="O50" s="41"/>
    </row>
    <row r="51" spans="2:15" ht="3.6" customHeight="1"/>
    <row r="52" spans="2:15">
      <c r="B52" s="38"/>
      <c r="C52" s="38"/>
      <c r="D52" s="38" t="s">
        <v>83</v>
      </c>
      <c r="E52" s="38"/>
      <c r="F52" s="38"/>
      <c r="G52" s="38"/>
    </row>
    <row r="53" spans="2:15">
      <c r="B53" s="38"/>
      <c r="C53" s="38"/>
      <c r="D53" s="38" t="s">
        <v>84</v>
      </c>
      <c r="E53" s="38"/>
      <c r="F53" s="38"/>
      <c r="G53" s="38"/>
      <c r="H53" s="113"/>
      <c r="L53" s="113"/>
      <c r="M53" s="41"/>
      <c r="N53" s="41"/>
      <c r="O53" s="41"/>
    </row>
    <row r="54" spans="2:15" ht="5.0999999999999996" customHeight="1"/>
    <row r="55" spans="2:15" ht="17.100000000000001" customHeight="1">
      <c r="D55" s="25" t="s">
        <v>34</v>
      </c>
      <c r="H55" s="22">
        <f>H53+H45</f>
        <v>0</v>
      </c>
      <c r="L55" s="22">
        <f>L53+L45</f>
        <v>0</v>
      </c>
      <c r="M55" s="41"/>
      <c r="N55" s="41"/>
      <c r="O55" s="41"/>
    </row>
  </sheetData>
  <sheetProtection algorithmName="SHA-512" hashValue="87MaUGPGgG3noBBTvlwyPv+PHflggZh3iGWD1DVW1UiL0cFWw7/Uue+UFl3kVi2Ix5UokLpikJq0ee24VOODsA==" saltValue="Wcmgg3hJIXiKTErUCjHaVw==" spinCount="100000" sheet="1" selectLockedCells="1"/>
  <pageMargins left="0.7" right="0.7" top="0.75" bottom="0.75" header="0.3" footer="0.3"/>
  <pageSetup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R77"/>
  <sheetViews>
    <sheetView showGridLines="0" topLeftCell="A16" zoomScale="98" zoomScaleNormal="98" workbookViewId="0">
      <selection activeCell="Q51" sqref="Q51"/>
    </sheetView>
  </sheetViews>
  <sheetFormatPr defaultColWidth="9.42578125" defaultRowHeight="12.75"/>
  <cols>
    <col min="1" max="1" width="2.5703125" style="8" customWidth="1"/>
    <col min="2" max="2" width="19.42578125" style="8" customWidth="1"/>
    <col min="3" max="3" width="5.5703125" style="8" customWidth="1"/>
    <col min="4" max="4" width="1.5703125" style="8" customWidth="1"/>
    <col min="5" max="5" width="11.42578125" style="8" customWidth="1"/>
    <col min="6" max="6" width="1.5703125" style="8" customWidth="1"/>
    <col min="7" max="7" width="5.5703125" style="8" customWidth="1"/>
    <col min="8" max="8" width="1.5703125" style="8" customWidth="1"/>
    <col min="9" max="9" width="11.42578125" style="8" customWidth="1"/>
    <col min="10" max="10" width="1.5703125" style="8" customWidth="1"/>
    <col min="11" max="11" width="5.5703125" style="8" customWidth="1"/>
    <col min="12" max="12" width="1.5703125" style="8" customWidth="1"/>
    <col min="13" max="13" width="11.42578125" style="8" customWidth="1"/>
    <col min="14" max="14" width="1.5703125" style="8" customWidth="1"/>
    <col min="15" max="15" width="5.5703125" style="8" customWidth="1"/>
    <col min="16" max="16" width="1.5703125" style="8" customWidth="1"/>
    <col min="17" max="17" width="11.42578125" style="8" customWidth="1"/>
    <col min="18" max="16384" width="9.42578125" style="8"/>
  </cols>
  <sheetData>
    <row r="1" spans="1:18">
      <c r="A1" s="43"/>
      <c r="B1" s="24"/>
      <c r="C1" s="24"/>
      <c r="D1" s="24"/>
      <c r="E1" s="24"/>
      <c r="F1" s="24"/>
      <c r="G1" s="24"/>
      <c r="H1" s="24"/>
      <c r="I1" s="83"/>
      <c r="J1" s="24"/>
      <c r="K1" s="24"/>
      <c r="L1" s="24"/>
      <c r="M1" s="24"/>
      <c r="N1" s="24"/>
      <c r="O1" s="24"/>
      <c r="P1" s="24"/>
      <c r="Q1" s="43" t="s">
        <v>528</v>
      </c>
    </row>
    <row r="2" spans="1:18" ht="5.85" customHeight="1">
      <c r="A2" s="4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8" ht="15">
      <c r="A3" s="27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30"/>
    </row>
    <row r="4" spans="1:18" ht="15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30"/>
    </row>
    <row r="5" spans="1:18" ht="15">
      <c r="A5" s="27" t="s">
        <v>85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30"/>
    </row>
    <row r="6" spans="1:18" ht="15">
      <c r="A6" s="29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30"/>
    </row>
    <row r="7" spans="1:18" ht="15">
      <c r="A7" s="27" t="s">
        <v>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30"/>
    </row>
    <row r="8" spans="1:18" ht="15">
      <c r="A8" s="29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30"/>
    </row>
    <row r="9" spans="1:18" ht="15">
      <c r="A9" s="27" t="s">
        <v>86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30"/>
    </row>
    <row r="10" spans="1:18" ht="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spans="1:18" ht="15">
      <c r="A11" s="49" t="s">
        <v>25</v>
      </c>
      <c r="B11" s="30"/>
      <c r="C11" s="47" t="str">
        <f>'COVER PAGE'!C7</f>
        <v>SELECT INSTITUTION</v>
      </c>
      <c r="D11" s="30"/>
      <c r="E11" s="30"/>
      <c r="F11" s="30"/>
      <c r="G11" s="30"/>
      <c r="H11" s="30"/>
      <c r="I11" s="30"/>
      <c r="J11" s="30"/>
      <c r="K11" s="30"/>
      <c r="L11" s="30"/>
      <c r="M11" s="30" t="s">
        <v>509</v>
      </c>
      <c r="N11" s="30"/>
      <c r="O11" s="30"/>
      <c r="P11" s="30"/>
      <c r="Q11" s="50" t="str">
        <f>'COVER PAGE'!$F$9</f>
        <v>September</v>
      </c>
      <c r="R11" s="51">
        <f>'COVER PAGE'!$F$10</f>
        <v>45292</v>
      </c>
    </row>
    <row r="12" spans="1:18">
      <c r="C12" s="37"/>
    </row>
    <row r="13" spans="1:18">
      <c r="C13" s="36" t="s">
        <v>4</v>
      </c>
      <c r="D13" s="36"/>
      <c r="E13" s="24"/>
      <c r="F13" s="36"/>
      <c r="G13" s="36" t="s">
        <v>5</v>
      </c>
      <c r="H13" s="36"/>
      <c r="I13" s="24"/>
      <c r="J13" s="36"/>
      <c r="K13" s="36" t="s">
        <v>6</v>
      </c>
      <c r="L13" s="36"/>
      <c r="M13" s="24"/>
      <c r="N13" s="36"/>
      <c r="O13" s="36" t="s">
        <v>7</v>
      </c>
      <c r="P13" s="36"/>
      <c r="Q13" s="24"/>
    </row>
    <row r="14" spans="1:18">
      <c r="A14" s="25" t="s">
        <v>8</v>
      </c>
      <c r="B14" s="25" t="s">
        <v>9</v>
      </c>
      <c r="C14" s="36" t="s">
        <v>10</v>
      </c>
      <c r="D14" s="36"/>
      <c r="E14" s="24"/>
      <c r="F14" s="36"/>
      <c r="G14" s="36" t="s">
        <v>11</v>
      </c>
      <c r="H14" s="36"/>
      <c r="I14" s="24"/>
      <c r="J14" s="36"/>
      <c r="K14" s="36" t="s">
        <v>11</v>
      </c>
      <c r="L14" s="36"/>
      <c r="M14" s="24"/>
      <c r="N14" s="36"/>
      <c r="O14" s="36" t="s">
        <v>12</v>
      </c>
      <c r="P14" s="36"/>
      <c r="Q14" s="24"/>
    </row>
    <row r="15" spans="1:18">
      <c r="C15" s="36" t="s">
        <v>13</v>
      </c>
      <c r="D15" s="36"/>
      <c r="E15" s="24"/>
      <c r="F15" s="36"/>
      <c r="G15" s="36" t="s">
        <v>14</v>
      </c>
      <c r="H15" s="36"/>
      <c r="I15" s="24"/>
      <c r="J15" s="36"/>
      <c r="K15" s="36" t="s">
        <v>14</v>
      </c>
      <c r="L15" s="36"/>
      <c r="M15" s="24"/>
      <c r="N15" s="36"/>
      <c r="O15" s="36" t="s">
        <v>15</v>
      </c>
      <c r="P15" s="36"/>
      <c r="Q15" s="24"/>
    </row>
    <row r="17" spans="1:17">
      <c r="C17" s="24" t="s">
        <v>16</v>
      </c>
      <c r="D17" s="24"/>
      <c r="E17" s="24" t="s">
        <v>17</v>
      </c>
      <c r="F17" s="24"/>
      <c r="G17" s="24" t="s">
        <v>16</v>
      </c>
      <c r="H17" s="24"/>
      <c r="I17" s="24" t="s">
        <v>17</v>
      </c>
      <c r="J17" s="24"/>
      <c r="K17" s="24" t="s">
        <v>16</v>
      </c>
      <c r="L17" s="24"/>
      <c r="M17" s="24" t="s">
        <v>17</v>
      </c>
      <c r="N17" s="24"/>
      <c r="O17" s="24" t="s">
        <v>16</v>
      </c>
      <c r="P17" s="24"/>
      <c r="Q17" s="24" t="s">
        <v>17</v>
      </c>
    </row>
    <row r="18" spans="1:17">
      <c r="C18" s="24"/>
      <c r="D18" s="24"/>
      <c r="E18" s="46" t="s">
        <v>38</v>
      </c>
      <c r="F18" s="24"/>
      <c r="H18" s="24"/>
      <c r="I18" s="46" t="s">
        <v>38</v>
      </c>
      <c r="J18" s="24"/>
      <c r="L18" s="24"/>
      <c r="M18" s="46" t="s">
        <v>38</v>
      </c>
      <c r="N18" s="24"/>
      <c r="P18" s="24"/>
      <c r="Q18" s="46" t="s">
        <v>38</v>
      </c>
    </row>
    <row r="19" spans="1:17" ht="7.35" customHeight="1"/>
    <row r="20" spans="1:17">
      <c r="A20" s="8" t="s">
        <v>18</v>
      </c>
      <c r="B20" s="39" t="s">
        <v>19</v>
      </c>
      <c r="C20" s="22">
        <f>SUM(C21:C24)</f>
        <v>0</v>
      </c>
      <c r="E20" s="22">
        <f>SUM(E21:E24)</f>
        <v>0</v>
      </c>
      <c r="G20" s="22">
        <f>SUM(G21:G24)</f>
        <v>0</v>
      </c>
      <c r="I20" s="22">
        <f>SUM(I21:I24)</f>
        <v>0</v>
      </c>
      <c r="K20" s="22">
        <f>SUM(K21:K24)</f>
        <v>0</v>
      </c>
      <c r="M20" s="22">
        <f>SUM(M21:M24)</f>
        <v>0</v>
      </c>
      <c r="O20" s="22">
        <f>SUM(O21:O24)</f>
        <v>0</v>
      </c>
      <c r="Q20" s="22">
        <f>SUM(Q21:Q24)</f>
        <v>0</v>
      </c>
    </row>
    <row r="21" spans="1:17">
      <c r="B21" s="8" t="s">
        <v>87</v>
      </c>
      <c r="C21" s="113"/>
      <c r="E21" s="113"/>
      <c r="G21" s="113"/>
      <c r="I21" s="113"/>
      <c r="K21" s="113"/>
      <c r="M21" s="113"/>
      <c r="O21" s="113"/>
      <c r="Q21" s="113"/>
    </row>
    <row r="22" spans="1:17">
      <c r="B22" s="8" t="s">
        <v>88</v>
      </c>
      <c r="C22" s="113"/>
      <c r="E22" s="113"/>
      <c r="G22" s="113"/>
      <c r="I22" s="113"/>
      <c r="K22" s="113"/>
      <c r="M22" s="113"/>
      <c r="O22" s="113"/>
      <c r="Q22" s="113"/>
    </row>
    <row r="23" spans="1:17">
      <c r="B23" s="8" t="s">
        <v>89</v>
      </c>
      <c r="C23" s="113"/>
      <c r="E23" s="113"/>
      <c r="G23" s="113"/>
      <c r="I23" s="113"/>
      <c r="K23" s="113"/>
      <c r="M23" s="113"/>
      <c r="O23" s="113"/>
      <c r="Q23" s="113"/>
    </row>
    <row r="24" spans="1:17">
      <c r="B24" s="8" t="s">
        <v>90</v>
      </c>
      <c r="C24" s="113"/>
      <c r="E24" s="113"/>
      <c r="G24" s="113"/>
      <c r="I24" s="113"/>
      <c r="K24" s="113"/>
      <c r="M24" s="113"/>
      <c r="O24" s="113"/>
      <c r="Q24" s="113"/>
    </row>
    <row r="25" spans="1:17" ht="8.1" customHeight="1"/>
    <row r="26" spans="1:17">
      <c r="A26" s="8" t="s">
        <v>23</v>
      </c>
      <c r="B26" s="39" t="s">
        <v>24</v>
      </c>
    </row>
    <row r="27" spans="1:17">
      <c r="B27" s="39" t="s">
        <v>25</v>
      </c>
      <c r="C27" s="22">
        <f>SUM(C28:C31)</f>
        <v>0</v>
      </c>
      <c r="E27" s="22">
        <f>SUM(E28:E31)</f>
        <v>0</v>
      </c>
      <c r="G27" s="22">
        <f>SUM(G28:G31)</f>
        <v>0</v>
      </c>
      <c r="I27" s="22">
        <f>SUM(I28:I31)</f>
        <v>0</v>
      </c>
      <c r="K27" s="22">
        <f>SUM(K28:K31)</f>
        <v>0</v>
      </c>
      <c r="M27" s="22">
        <f>SUM(M28:M31)</f>
        <v>0</v>
      </c>
      <c r="O27" s="22">
        <f>SUM(O28:O31)</f>
        <v>0</v>
      </c>
      <c r="Q27" s="22">
        <f>SUM(Q28:Q31)</f>
        <v>0</v>
      </c>
    </row>
    <row r="28" spans="1:17">
      <c r="B28" s="8" t="s">
        <v>87</v>
      </c>
      <c r="C28" s="113"/>
      <c r="E28" s="113"/>
      <c r="G28" s="113"/>
      <c r="I28" s="113"/>
      <c r="K28" s="113"/>
      <c r="M28" s="113"/>
      <c r="O28" s="113"/>
      <c r="Q28" s="113"/>
    </row>
    <row r="29" spans="1:17">
      <c r="B29" s="8" t="s">
        <v>88</v>
      </c>
      <c r="C29" s="113"/>
      <c r="E29" s="113"/>
      <c r="G29" s="113"/>
      <c r="I29" s="113"/>
      <c r="K29" s="113"/>
      <c r="M29" s="113"/>
      <c r="O29" s="113"/>
      <c r="Q29" s="113"/>
    </row>
    <row r="30" spans="1:17">
      <c r="B30" s="8" t="s">
        <v>89</v>
      </c>
      <c r="C30" s="113"/>
      <c r="E30" s="113"/>
      <c r="G30" s="113"/>
      <c r="I30" s="113"/>
      <c r="K30" s="113"/>
      <c r="M30" s="113"/>
      <c r="O30" s="113"/>
      <c r="Q30" s="113"/>
    </row>
    <row r="31" spans="1:17">
      <c r="B31" s="8" t="s">
        <v>90</v>
      </c>
      <c r="C31" s="113"/>
      <c r="E31" s="113"/>
      <c r="G31" s="113"/>
      <c r="I31" s="113"/>
      <c r="K31" s="113"/>
      <c r="M31" s="113"/>
      <c r="O31" s="113"/>
      <c r="Q31" s="113"/>
    </row>
    <row r="32" spans="1:17" ht="8.85" customHeight="1">
      <c r="C32" s="13"/>
      <c r="E32" s="13"/>
      <c r="G32" s="13"/>
      <c r="I32" s="13"/>
      <c r="K32" s="13"/>
      <c r="M32" s="13"/>
      <c r="O32" s="13"/>
      <c r="Q32" s="13"/>
    </row>
    <row r="33" spans="1:17">
      <c r="A33" s="8" t="s">
        <v>26</v>
      </c>
      <c r="B33" s="39" t="s">
        <v>27</v>
      </c>
    </row>
    <row r="34" spans="1:17">
      <c r="B34" s="39" t="s">
        <v>28</v>
      </c>
      <c r="C34" s="22">
        <f>SUM(C35:C38)</f>
        <v>0</v>
      </c>
      <c r="E34" s="22">
        <f>SUM(E35:E38)</f>
        <v>0</v>
      </c>
      <c r="G34" s="22">
        <f>SUM(G35:G38)</f>
        <v>0</v>
      </c>
      <c r="I34" s="22">
        <f>SUM(I35:I38)</f>
        <v>0</v>
      </c>
      <c r="K34" s="22">
        <f>SUM(K35:K38)</f>
        <v>0</v>
      </c>
      <c r="M34" s="22">
        <f>SUM(M35:M38)</f>
        <v>0</v>
      </c>
      <c r="O34" s="22">
        <f>SUM(O35:O38)</f>
        <v>0</v>
      </c>
      <c r="Q34" s="22">
        <f>SUM(Q35:Q38)</f>
        <v>0</v>
      </c>
    </row>
    <row r="35" spans="1:17">
      <c r="B35" s="8" t="s">
        <v>87</v>
      </c>
      <c r="C35" s="113"/>
      <c r="E35" s="113"/>
      <c r="G35" s="113"/>
      <c r="I35" s="113"/>
      <c r="K35" s="113"/>
      <c r="M35" s="113"/>
      <c r="O35" s="113"/>
      <c r="Q35" s="113"/>
    </row>
    <row r="36" spans="1:17">
      <c r="B36" s="8" t="s">
        <v>88</v>
      </c>
      <c r="C36" s="113"/>
      <c r="E36" s="113"/>
      <c r="G36" s="113"/>
      <c r="I36" s="113"/>
      <c r="K36" s="113"/>
      <c r="M36" s="113"/>
      <c r="O36" s="113"/>
      <c r="Q36" s="113"/>
    </row>
    <row r="37" spans="1:17">
      <c r="B37" s="8" t="s">
        <v>89</v>
      </c>
      <c r="C37" s="113"/>
      <c r="E37" s="113"/>
      <c r="G37" s="113"/>
      <c r="I37" s="113"/>
      <c r="K37" s="113"/>
      <c r="M37" s="113"/>
      <c r="O37" s="113"/>
      <c r="Q37" s="113"/>
    </row>
    <row r="38" spans="1:17">
      <c r="B38" s="8" t="s">
        <v>90</v>
      </c>
      <c r="C38" s="113"/>
      <c r="E38" s="113"/>
      <c r="G38" s="113"/>
      <c r="I38" s="113"/>
      <c r="K38" s="113"/>
      <c r="M38" s="113"/>
      <c r="O38" s="113"/>
      <c r="Q38" s="113"/>
    </row>
    <row r="39" spans="1:17" ht="8.1" customHeight="1">
      <c r="C39" s="13"/>
      <c r="E39" s="13"/>
      <c r="G39" s="13"/>
      <c r="I39" s="13"/>
      <c r="K39" s="13"/>
      <c r="M39" s="13"/>
      <c r="O39" s="13"/>
      <c r="Q39" s="13"/>
    </row>
    <row r="40" spans="1:17">
      <c r="A40" s="8" t="s">
        <v>29</v>
      </c>
      <c r="B40" s="39" t="s">
        <v>30</v>
      </c>
    </row>
    <row r="41" spans="1:17">
      <c r="B41" s="39" t="s">
        <v>28</v>
      </c>
      <c r="C41" s="22">
        <f>SUM(C42:C45)</f>
        <v>0</v>
      </c>
      <c r="E41" s="22">
        <f>SUM(E42:E45)</f>
        <v>0</v>
      </c>
      <c r="G41" s="22">
        <f>SUM(G42:G45)</f>
        <v>0</v>
      </c>
      <c r="I41" s="22">
        <f>SUM(I42:I45)</f>
        <v>0</v>
      </c>
      <c r="K41" s="22">
        <f>SUM(K42:K45)</f>
        <v>0</v>
      </c>
      <c r="M41" s="22">
        <f>SUM(M42:M45)</f>
        <v>0</v>
      </c>
      <c r="O41" s="22">
        <f>SUM(O42:O45)</f>
        <v>0</v>
      </c>
      <c r="Q41" s="22">
        <f>SUM(Q42:Q45)</f>
        <v>0</v>
      </c>
    </row>
    <row r="42" spans="1:17">
      <c r="B42" s="8" t="s">
        <v>87</v>
      </c>
      <c r="C42" s="113"/>
      <c r="E42" s="113"/>
      <c r="G42" s="113"/>
      <c r="I42" s="113"/>
      <c r="K42" s="113"/>
      <c r="M42" s="113"/>
      <c r="O42" s="113"/>
      <c r="Q42" s="113"/>
    </row>
    <row r="43" spans="1:17">
      <c r="B43" s="8" t="s">
        <v>88</v>
      </c>
      <c r="C43" s="113"/>
      <c r="E43" s="113"/>
      <c r="G43" s="113"/>
      <c r="I43" s="113"/>
      <c r="K43" s="113"/>
      <c r="M43" s="113"/>
      <c r="O43" s="113"/>
      <c r="Q43" s="113"/>
    </row>
    <row r="44" spans="1:17">
      <c r="B44" s="8" t="s">
        <v>89</v>
      </c>
      <c r="C44" s="113"/>
      <c r="E44" s="113"/>
      <c r="G44" s="113"/>
      <c r="I44" s="113"/>
      <c r="K44" s="113"/>
      <c r="M44" s="113"/>
      <c r="O44" s="113"/>
      <c r="Q44" s="113"/>
    </row>
    <row r="45" spans="1:17">
      <c r="B45" s="8" t="s">
        <v>90</v>
      </c>
      <c r="C45" s="113"/>
      <c r="E45" s="113"/>
      <c r="G45" s="113"/>
      <c r="I45" s="113"/>
      <c r="K45" s="113"/>
      <c r="M45" s="113"/>
      <c r="O45" s="113"/>
      <c r="Q45" s="113"/>
    </row>
    <row r="46" spans="1:17" ht="12" customHeight="1">
      <c r="C46" s="13"/>
      <c r="E46" s="13"/>
      <c r="G46" s="13"/>
      <c r="I46" s="13"/>
      <c r="K46" s="13"/>
      <c r="M46" s="13"/>
      <c r="O46" s="13"/>
      <c r="Q46" s="13"/>
    </row>
    <row r="47" spans="1:17">
      <c r="A47" s="8" t="s">
        <v>31</v>
      </c>
      <c r="B47" s="39" t="s">
        <v>32</v>
      </c>
      <c r="C47" s="22">
        <f>SUM(C48:C51)</f>
        <v>0</v>
      </c>
      <c r="E47" s="22">
        <f>SUM(E48:E51)</f>
        <v>0</v>
      </c>
      <c r="G47" s="22">
        <f>SUM(G48:G51)</f>
        <v>0</v>
      </c>
      <c r="I47" s="22">
        <f>SUM(I48:I51)</f>
        <v>0</v>
      </c>
      <c r="K47" s="22">
        <f>SUM(K48:K51)</f>
        <v>0</v>
      </c>
      <c r="M47" s="22">
        <f>SUM(M48:M51)</f>
        <v>0</v>
      </c>
      <c r="O47" s="22">
        <f>SUM(O48:O51)</f>
        <v>0</v>
      </c>
      <c r="Q47" s="22">
        <f>SUM(Q48:Q51)</f>
        <v>0</v>
      </c>
    </row>
    <row r="48" spans="1:17">
      <c r="B48" s="8" t="s">
        <v>87</v>
      </c>
      <c r="C48" s="113"/>
      <c r="E48" s="113"/>
      <c r="G48" s="113"/>
      <c r="I48" s="113"/>
      <c r="K48" s="113"/>
      <c r="M48" s="113"/>
      <c r="O48" s="113"/>
      <c r="Q48" s="113"/>
    </row>
    <row r="49" spans="1:17">
      <c r="B49" s="8" t="s">
        <v>88</v>
      </c>
      <c r="C49" s="113"/>
      <c r="E49" s="113"/>
      <c r="G49" s="113"/>
      <c r="I49" s="113"/>
      <c r="K49" s="113"/>
      <c r="M49" s="113"/>
      <c r="O49" s="113"/>
      <c r="Q49" s="113"/>
    </row>
    <row r="50" spans="1:17">
      <c r="B50" s="8" t="s">
        <v>89</v>
      </c>
      <c r="C50" s="113"/>
      <c r="E50" s="113"/>
      <c r="G50" s="113"/>
      <c r="I50" s="113"/>
      <c r="K50" s="113"/>
      <c r="M50" s="113"/>
      <c r="O50" s="113"/>
      <c r="Q50" s="113"/>
    </row>
    <row r="51" spans="1:17">
      <c r="B51" s="8" t="s">
        <v>90</v>
      </c>
      <c r="C51" s="113"/>
      <c r="E51" s="113"/>
      <c r="G51" s="113"/>
      <c r="I51" s="113"/>
      <c r="K51" s="113"/>
      <c r="M51" s="113"/>
      <c r="O51" s="113"/>
      <c r="Q51" s="113"/>
    </row>
    <row r="52" spans="1:17">
      <c r="C52" s="13"/>
      <c r="E52" s="13"/>
      <c r="G52" s="13"/>
      <c r="I52" s="13"/>
      <c r="K52" s="13"/>
      <c r="M52" s="13"/>
      <c r="O52" s="13"/>
      <c r="Q52" s="13"/>
    </row>
    <row r="53" spans="1:17">
      <c r="B53" s="25" t="s">
        <v>34</v>
      </c>
      <c r="C53" s="22">
        <f>C47+C41+C34+C27+C20</f>
        <v>0</v>
      </c>
      <c r="E53" s="22">
        <f>E47+E41+E34+E27+E20</f>
        <v>0</v>
      </c>
      <c r="G53" s="22">
        <f>G47+G41+G34+G27+G20</f>
        <v>0</v>
      </c>
      <c r="I53" s="22">
        <f>I47+I41+I34+I27+I20</f>
        <v>0</v>
      </c>
      <c r="K53" s="22">
        <f>K47+K41+K34+K27+K20</f>
        <v>0</v>
      </c>
      <c r="M53" s="22">
        <f>M47+M41+M34+M27+M20</f>
        <v>0</v>
      </c>
      <c r="O53" s="22">
        <f>O47+O41+O34+O27+O20</f>
        <v>0</v>
      </c>
      <c r="Q53" s="22">
        <f>Q47+Q41+Q34+Q27+Q20</f>
        <v>0</v>
      </c>
    </row>
    <row r="54" spans="1:17" ht="7.35" customHeight="1"/>
    <row r="55" spans="1:17">
      <c r="A55" s="25" t="s">
        <v>91</v>
      </c>
      <c r="B55" s="25" t="s">
        <v>37</v>
      </c>
    </row>
    <row r="56" spans="1:17" ht="6" customHeight="1"/>
    <row r="57" spans="1:17">
      <c r="B57" s="39" t="s">
        <v>521</v>
      </c>
    </row>
    <row r="58" spans="1:17" ht="7.35" customHeight="1"/>
    <row r="59" spans="1:17">
      <c r="A59" s="8" t="s">
        <v>18</v>
      </c>
      <c r="B59" s="8" t="s">
        <v>39</v>
      </c>
      <c r="C59" s="113"/>
      <c r="E59" s="113"/>
      <c r="G59" s="113"/>
      <c r="I59" s="113"/>
      <c r="K59" s="113"/>
      <c r="M59" s="113"/>
      <c r="O59" s="113"/>
      <c r="Q59" s="113"/>
    </row>
    <row r="60" spans="1:17" ht="6.6" customHeight="1"/>
    <row r="61" spans="1:17">
      <c r="A61" s="8" t="s">
        <v>23</v>
      </c>
      <c r="B61" s="8" t="s">
        <v>40</v>
      </c>
    </row>
    <row r="62" spans="1:17">
      <c r="B62" s="8" t="s">
        <v>41</v>
      </c>
      <c r="C62" s="113"/>
      <c r="E62" s="113"/>
      <c r="G62" s="113"/>
      <c r="I62" s="113"/>
      <c r="K62" s="113"/>
      <c r="M62" s="113"/>
      <c r="O62" s="113"/>
      <c r="Q62" s="113"/>
    </row>
    <row r="63" spans="1:17" ht="7.35" customHeight="1"/>
    <row r="64" spans="1:17">
      <c r="A64" s="8" t="s">
        <v>26</v>
      </c>
      <c r="B64" s="8" t="s">
        <v>42</v>
      </c>
    </row>
    <row r="65" spans="1:17">
      <c r="B65" s="8" t="s">
        <v>43</v>
      </c>
      <c r="C65" s="113"/>
      <c r="E65" s="113"/>
      <c r="G65" s="113"/>
      <c r="I65" s="113"/>
      <c r="K65" s="113"/>
      <c r="M65" s="113"/>
      <c r="O65" s="113"/>
      <c r="Q65" s="113"/>
    </row>
    <row r="67" spans="1:17">
      <c r="A67" s="8" t="s">
        <v>29</v>
      </c>
      <c r="B67" s="8" t="s">
        <v>46</v>
      </c>
      <c r="C67" s="113"/>
      <c r="E67" s="113"/>
      <c r="G67" s="113"/>
      <c r="I67" s="113"/>
      <c r="K67" s="113"/>
      <c r="M67" s="113"/>
      <c r="O67" s="113"/>
      <c r="Q67" s="113"/>
    </row>
    <row r="68" spans="1:17" ht="8.85" customHeight="1"/>
    <row r="69" spans="1:17">
      <c r="A69" s="37">
        <v>5</v>
      </c>
      <c r="B69" s="8" t="s">
        <v>48</v>
      </c>
      <c r="C69" s="113"/>
      <c r="E69" s="113"/>
      <c r="G69" s="113"/>
      <c r="I69" s="113"/>
      <c r="K69" s="113"/>
      <c r="M69" s="113"/>
      <c r="O69" s="113"/>
      <c r="Q69" s="113"/>
    </row>
    <row r="70" spans="1:17" ht="5.85" customHeight="1"/>
    <row r="71" spans="1:17">
      <c r="B71" s="25" t="s">
        <v>34</v>
      </c>
      <c r="C71" s="22">
        <f>C59+C62+C65+C67+C69</f>
        <v>0</v>
      </c>
      <c r="E71" s="22">
        <f>E59+E62+E65+E67+E69</f>
        <v>0</v>
      </c>
      <c r="G71" s="22">
        <f>G59+G62+G65+G67+G69</f>
        <v>0</v>
      </c>
      <c r="I71" s="22">
        <f>I59+I62+I65+I67+I69</f>
        <v>0</v>
      </c>
      <c r="K71" s="22">
        <f>K59+K62+K65+K67+K69</f>
        <v>0</v>
      </c>
      <c r="M71" s="22">
        <f>M59+M62+M65+M67+M69</f>
        <v>0</v>
      </c>
      <c r="O71" s="22">
        <f>O59+O62+O65+O67+O69</f>
        <v>0</v>
      </c>
      <c r="Q71" s="22">
        <f>Q59+Q62+Q65+Q67+Q69</f>
        <v>0</v>
      </c>
    </row>
    <row r="72" spans="1:17" ht="13.35" customHeight="1"/>
    <row r="73" spans="1:17">
      <c r="A73" s="25" t="s">
        <v>49</v>
      </c>
      <c r="B73" s="25" t="s">
        <v>50</v>
      </c>
    </row>
    <row r="75" spans="1:17">
      <c r="A75" s="8" t="s">
        <v>18</v>
      </c>
      <c r="B75" s="8" t="s">
        <v>519</v>
      </c>
      <c r="C75" s="113"/>
    </row>
    <row r="77" spans="1:17">
      <c r="A77" s="8" t="s">
        <v>23</v>
      </c>
      <c r="B77" s="8" t="s">
        <v>555</v>
      </c>
      <c r="C77" s="113"/>
    </row>
  </sheetData>
  <sheetProtection algorithmName="SHA-512" hashValue="KlB1TwDJ7Is6e8u4L0mHINrMU+xqLCXDjVjONAiu7lyrteyq3C9Yx125zaBlZG9TMZqaUo2c71brC5UroVKRlg==" saltValue="hV1V2xEQgCj6vfnTaBLYtw==" spinCount="100000" sheet="1" selectLockedCells="1"/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COVER PAGE</vt:lpstr>
      <vt:lpstr>General Instructions</vt:lpstr>
      <vt:lpstr>CBTT VALIDATION</vt:lpstr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'CBTT VALIDATION'!Print_Area</vt:lpstr>
      <vt:lpstr>'COVER PAGE'!Print_Area</vt:lpstr>
      <vt:lpstr>'General Instructions'!Print_Area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M.I.S.  Library</dc:creator>
  <cp:lastModifiedBy>cloudconvert_20</cp:lastModifiedBy>
  <cp:lastPrinted>2023-09-21T18:53:14Z</cp:lastPrinted>
  <dcterms:created xsi:type="dcterms:W3CDTF">2000-10-25T16:50:36Z</dcterms:created>
  <dcterms:modified xsi:type="dcterms:W3CDTF">2025-03-24T19:43:22Z</dcterms:modified>
</cp:coreProperties>
</file>